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90" windowHeight="5355" activeTab="0"/>
  </bookViews>
  <sheets>
    <sheet name="Krycí list rozpočtu" sheetId="1" r:id="rId1"/>
    <sheet name="VORN" sheetId="2" r:id="rId2"/>
    <sheet name="Stavební rozpočet" sheetId="3" r:id="rId3"/>
    <sheet name="Silnoproud" sheetId="4" r:id="rId4"/>
  </sheets>
  <definedNames>
    <definedName name="vorn_sum">'VORN'!$I$42:$I$42</definedName>
  </definedNames>
  <calcPr fullCalcOnLoad="1"/>
</workbook>
</file>

<file path=xl/sharedStrings.xml><?xml version="1.0" encoding="utf-8"?>
<sst xmlns="http://schemas.openxmlformats.org/spreadsheetml/2006/main" count="1985" uniqueCount="796">
  <si>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</si>
  <si>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</si>
  <si>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</si>
  <si>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</si>
  <si>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</si>
  <si>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</si>
  <si>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</si>
  <si>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</si>
  <si>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</si>
  <si>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</si>
  <si>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</si>
  <si>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</si>
  <si>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</si>
  <si>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</si>
  <si>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</si>
  <si>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</si>
  <si>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</si>
  <si>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</si>
  <si>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</si>
  <si>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</si>
  <si>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</si>
  <si>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</si>
  <si>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</si>
  <si>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</si>
  <si>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</si>
  <si>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</si>
  <si>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</si>
  <si>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</si>
  <si>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</si>
  <si>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</si>
  <si>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</si>
  <si>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</si>
  <si>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</si>
  <si>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</si>
  <si>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</si>
  <si>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</si>
  <si>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</si>
  <si>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</si>
  <si>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</si>
  <si>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</si>
  <si>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</si>
  <si>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</si>
  <si>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</si>
  <si>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</si>
  <si>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</si>
  <si>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</si>
  <si>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</si>
  <si>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</si>
  <si>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</si>
  <si>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</si>
  <si>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</si>
  <si>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</si>
  <si>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</si>
  <si>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</si>
  <si>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</si>
  <si>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</si>
  <si>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</si>
  <si>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</si>
  <si>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</si>
  <si>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</si>
  <si>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</si>
  <si>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</si>
  <si>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</si>
  <si>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</si>
  <si>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</si>
  <si>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</si>
  <si>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</si>
  <si>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</si>
  <si>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</si>
  <si>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</si>
  <si>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</si>
  <si>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</si>
  <si>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</si>
  <si>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</si>
  <si>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</si>
  <si>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</si>
  <si>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</si>
  <si>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</si>
  <si>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</si>
  <si>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</si>
  <si>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</si>
  <si>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</si>
  <si>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</si>
  <si>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</si>
  <si>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</si>
  <si>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</si>
  <si>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</si>
  <si>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</si>
  <si>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</si>
  <si>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</si>
  <si>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</si>
  <si>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</si>
  <si>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</si>
  <si>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</si>
  <si>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</si>
  <si>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</si>
  <si>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</si>
  <si>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</si>
  <si>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</si>
  <si>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</si>
  <si>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</si>
  <si>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</si>
  <si>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</si>
  <si>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</si>
  <si>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</si>
  <si>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</si>
  <si>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</si>
  <si>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</si>
  <si>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</si>
  <si>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</si>
  <si>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</si>
  <si>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</si>
  <si>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</si>
  <si>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</si>
  <si>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</si>
  <si>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</si>
  <si>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</si>
  <si>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</si>
  <si>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</si>
  <si>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</si>
  <si>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</si>
  <si>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</si>
  <si>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</si>
  <si>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</si>
  <si>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</si>
  <si>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</si>
  <si>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</si>
  <si>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</si>
  <si>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</si>
  <si>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</si>
  <si>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</si>
  <si>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</si>
  <si>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Poznámka:</t>
  </si>
  <si>
    <t>1. Materiály uvedené ve specifikacích budou na základě předložených vzorků upřesněny investorem
2. Uchazeč si je plně vědom, že kontrola výkazu výměr je součástí zadávacích podmínek.
3.Názvy materiálů označují minimální standard , dodavatel může použít jakýkoli materiál, splňující standard !
4.Dodavatel je povinen ocenit jednotlivé položky tak, aby k jejich splnění nepotřeboval další dodatky a vícepráce
5. Veškeré skladby jsou myšleny včetně pomocných prvků a konstrukcí. Prvky neuvedené ve výkazu jsou nedílnou součástí dodávky jednotlivé položky
6. V případě nejasnosti výkladu položky má přednost popis v PD, protože se může jednat o alternativní použití za neexistující položku v databázi</t>
  </si>
  <si>
    <t>Kód</t>
  </si>
  <si>
    <t>311320102</t>
  </si>
  <si>
    <t>622477128RT2</t>
  </si>
  <si>
    <t>Varianta:</t>
  </si>
  <si>
    <t>601016122RT4</t>
  </si>
  <si>
    <t>622451101R00</t>
  </si>
  <si>
    <t>632479511R00</t>
  </si>
  <si>
    <t>631342232</t>
  </si>
  <si>
    <t>632922952RT1</t>
  </si>
  <si>
    <t>59247900</t>
  </si>
  <si>
    <t>55347141</t>
  </si>
  <si>
    <t>712</t>
  </si>
  <si>
    <t>712300833R00</t>
  </si>
  <si>
    <t>712311101RZ1</t>
  </si>
  <si>
    <t>712341559RZ3</t>
  </si>
  <si>
    <t>712341559RV1</t>
  </si>
  <si>
    <t>712391171RZ1</t>
  </si>
  <si>
    <t>712372111RT1</t>
  </si>
  <si>
    <t>28322203</t>
  </si>
  <si>
    <t>712378002R00</t>
  </si>
  <si>
    <t>Dokumentace:</t>
  </si>
  <si>
    <t>712871801RZ5</t>
  </si>
  <si>
    <t>28342406</t>
  </si>
  <si>
    <t>998712104R00</t>
  </si>
  <si>
    <t>713</t>
  </si>
  <si>
    <t>713101111R00</t>
  </si>
  <si>
    <t>713141125R00</t>
  </si>
  <si>
    <t>28376549</t>
  </si>
  <si>
    <t>713141221RS3</t>
  </si>
  <si>
    <t>998713104R00</t>
  </si>
  <si>
    <t>721</t>
  </si>
  <si>
    <t>721270100</t>
  </si>
  <si>
    <t>721210822R00</t>
  </si>
  <si>
    <t>721234114RT1</t>
  </si>
  <si>
    <t>721234160</t>
  </si>
  <si>
    <t>998721104R00</t>
  </si>
  <si>
    <t>722</t>
  </si>
  <si>
    <t>722224212R00</t>
  </si>
  <si>
    <t>722130913R00</t>
  </si>
  <si>
    <t>722130901R00</t>
  </si>
  <si>
    <t>762</t>
  </si>
  <si>
    <t>762341811R00</t>
  </si>
  <si>
    <t>762341210R00</t>
  </si>
  <si>
    <t>762911111R00</t>
  </si>
  <si>
    <t>762395000R00</t>
  </si>
  <si>
    <t>998762104R00</t>
  </si>
  <si>
    <t>764</t>
  </si>
  <si>
    <t>764311831RT2</t>
  </si>
  <si>
    <t>764900020RAC</t>
  </si>
  <si>
    <t>764900050RAC</t>
  </si>
  <si>
    <t>979082318R00</t>
  </si>
  <si>
    <t>979951141R00</t>
  </si>
  <si>
    <t>764211241RT2</t>
  </si>
  <si>
    <t>764530220R00</t>
  </si>
  <si>
    <t>764530210R00</t>
  </si>
  <si>
    <t>764233260R00</t>
  </si>
  <si>
    <t>764233220R00</t>
  </si>
  <si>
    <t>764554202R00</t>
  </si>
  <si>
    <t>764252201R00</t>
  </si>
  <si>
    <t>764217200R00</t>
  </si>
  <si>
    <t>764291210R00</t>
  </si>
  <si>
    <t>764291220R00</t>
  </si>
  <si>
    <t>764530230R00</t>
  </si>
  <si>
    <t>764510230R00</t>
  </si>
  <si>
    <t>764510220R00</t>
  </si>
  <si>
    <t>764510240R00</t>
  </si>
  <si>
    <t>764223220R00</t>
  </si>
  <si>
    <t>465921111R00</t>
  </si>
  <si>
    <t>998764104R00</t>
  </si>
  <si>
    <t>767</t>
  </si>
  <si>
    <t>767999914</t>
  </si>
  <si>
    <t>767832101</t>
  </si>
  <si>
    <t>55347014</t>
  </si>
  <si>
    <t>767851103R00</t>
  </si>
  <si>
    <t>55347019</t>
  </si>
  <si>
    <t>767999902</t>
  </si>
  <si>
    <t>767999904</t>
  </si>
  <si>
    <t>767999903</t>
  </si>
  <si>
    <t>968072247R00</t>
  </si>
  <si>
    <t>767611231R00</t>
  </si>
  <si>
    <t>767999901</t>
  </si>
  <si>
    <t>767996801R00</t>
  </si>
  <si>
    <t>998767104R00</t>
  </si>
  <si>
    <t>781</t>
  </si>
  <si>
    <t>781732920R00</t>
  </si>
  <si>
    <t>781320111R00</t>
  </si>
  <si>
    <t>597818</t>
  </si>
  <si>
    <t>998781104R00</t>
  </si>
  <si>
    <t>783</t>
  </si>
  <si>
    <t>783897131R00</t>
  </si>
  <si>
    <t>783950010RAA</t>
  </si>
  <si>
    <t>784</t>
  </si>
  <si>
    <t>784498930R00</t>
  </si>
  <si>
    <t>784498931R00</t>
  </si>
  <si>
    <t>787</t>
  </si>
  <si>
    <t>787100802R00</t>
  </si>
  <si>
    <t>787140230R00</t>
  </si>
  <si>
    <t>63416100</t>
  </si>
  <si>
    <t>787192512R00</t>
  </si>
  <si>
    <t>63437143</t>
  </si>
  <si>
    <t>998787104R00</t>
  </si>
  <si>
    <t>946942195</t>
  </si>
  <si>
    <t>946942105</t>
  </si>
  <si>
    <t>946942805</t>
  </si>
  <si>
    <t>979011336R00</t>
  </si>
  <si>
    <t>979011321R00</t>
  </si>
  <si>
    <t>979011329R00</t>
  </si>
  <si>
    <t>979011331R00</t>
  </si>
  <si>
    <t>979011332R00</t>
  </si>
  <si>
    <t>216903121R00</t>
  </si>
  <si>
    <t>959571001R00</t>
  </si>
  <si>
    <t>959571011R00</t>
  </si>
  <si>
    <t>953941411R00</t>
  </si>
  <si>
    <t>42972857</t>
  </si>
  <si>
    <t>762088116R00</t>
  </si>
  <si>
    <t>771111133R00</t>
  </si>
  <si>
    <t>931961114</t>
  </si>
  <si>
    <t>184807111R00</t>
  </si>
  <si>
    <t>184807112R00</t>
  </si>
  <si>
    <t>999281112R00</t>
  </si>
  <si>
    <t>965041431RT2</t>
  </si>
  <si>
    <t>965081813RT1</t>
  </si>
  <si>
    <t>965042121RT1</t>
  </si>
  <si>
    <t>965048515R00</t>
  </si>
  <si>
    <t>978015291R00</t>
  </si>
  <si>
    <t>767851803R00</t>
  </si>
  <si>
    <t>767900090RAA</t>
  </si>
  <si>
    <t>979951112R00</t>
  </si>
  <si>
    <t>979011111R00</t>
  </si>
  <si>
    <t>979011121R00</t>
  </si>
  <si>
    <t>979082111R00</t>
  </si>
  <si>
    <t>979082121R00</t>
  </si>
  <si>
    <t>979981106R00</t>
  </si>
  <si>
    <t>M21</t>
  </si>
  <si>
    <t>210000001</t>
  </si>
  <si>
    <t>Střecha BD náměstí Svobody 728/1</t>
  </si>
  <si>
    <t>rekonstrukce</t>
  </si>
  <si>
    <t>Bubeneč, Praha</t>
  </si>
  <si>
    <t>Zkrácený popis / Varianta</t>
  </si>
  <si>
    <t>Rozměry</t>
  </si>
  <si>
    <t>Zdi podpěrné a volné</t>
  </si>
  <si>
    <t>Betonáž podkladních kvádříků 50/50 výška 35 cm</t>
  </si>
  <si>
    <t>Úprava povrchů vnější</t>
  </si>
  <si>
    <t>Oprava vnější omítky hladké stěn,sl.II,do 80 %,SMS</t>
  </si>
  <si>
    <t>231;S1;+381;S2;+253;S3</t>
  </si>
  <si>
    <t>310,95</t>
  </si>
  <si>
    <t>Vyspravení stěn betonových vnějších maltou cem.</t>
  </si>
  <si>
    <t>6,34+4,82+5,7+6,8+6,05+0,9+0,45+15,7+11,7+(46,15+80,1+55,6+63,1+97+14,8+7,75+67,15+63,15)*0,272</t>
  </si>
  <si>
    <t>Podlahy a podlahové konstrukce</t>
  </si>
  <si>
    <t>310,95*0,1</t>
  </si>
  <si>
    <t>Mazanina z pěnobetonu tepelně-izolačního do tl. 24cm - obj.hmotnost &lt;800kg/m3</t>
  </si>
  <si>
    <t>278,4*(0,08+0,195)/2</t>
  </si>
  <si>
    <t>275,7*(0,11+0,225)/2</t>
  </si>
  <si>
    <t>(419,5+36,9*4)*(0,04+0,085)/2</t>
  </si>
  <si>
    <t>Spádová vrstva bude provedena z lehčeného pěnobetonu, při jeho kladení bude, z hlediska různých tlouštěk a spádu, přizpůsovena technologie lití dle technických listů a zvyklostí dodavatele, např. lití postupně, po vrstvách, s použitím pomocných přípravků zamezujících stékání, …</t>
  </si>
  <si>
    <t>Kladení dlaždic 40x40 cm na stavitel. terče plast.</t>
  </si>
  <si>
    <t>výškově stavitelné podstavce 35-55 mm</t>
  </si>
  <si>
    <t>278,4+419,5+36,9*4+275,7</t>
  </si>
  <si>
    <t>Dlažba 40x40x4,0 cm schválená NPÚ a vzorkovaná, betonová dlažba terasová, povrch standard, barva přírodní, úprava bez laku a bez obvodové fazety</t>
  </si>
  <si>
    <t>1121,2</t>
  </si>
  <si>
    <t>;ztratné 10%; 112,12</t>
  </si>
  <si>
    <t>Rošt podlahový 30/3 svařovaný "SP"   500x1000 mm</t>
  </si>
  <si>
    <t>Izolace střech (živičné krytiny)</t>
  </si>
  <si>
    <t>Odstranění povlakové krytiny střech do 10° 3vrstvé</t>
  </si>
  <si>
    <t>(277,9+426,15+37,05*4+272,51)*2</t>
  </si>
  <si>
    <t>Povlaková krytina střech do 10°, za studena ALP 1 x nátěr - včetně dodávky ALP</t>
  </si>
  <si>
    <t>Povlaková krytina střech do 10°, NAIP přitavením 1 vrstva - včetně dodávky</t>
  </si>
  <si>
    <t>1432,15+(10,4+12)*0,3</t>
  </si>
  <si>
    <t>Povlaková krytina střech do 10°, podklad. textilie 1 vrstva - včetně dodávky textilie</t>
  </si>
  <si>
    <t>Krytina střech do 10° fólie, 4 kotvy/m2, na beton</t>
  </si>
  <si>
    <t>tl. izolace do 200 mm, fólie ve specifikaci</t>
  </si>
  <si>
    <t>1121,2+(10,4+12)*0,2</t>
  </si>
  <si>
    <t>Fólie střešní mPVC  1,5 mm š. 2,12 m, Rroof T3</t>
  </si>
  <si>
    <t>1125,68</t>
  </si>
  <si>
    <t>;ztratné 20%; 225,136</t>
  </si>
  <si>
    <t>typová okrajová systémová ukončující lišta</t>
  </si>
  <si>
    <t>490</t>
  </si>
  <si>
    <t>K33</t>
  </si>
  <si>
    <t>Samostatné vytažení izolace, fólií PVC polož.volně 1 vrstva-vč.dodávky fólie 2,0 mm</t>
  </si>
  <si>
    <t>ukončovací lišta N8 PVC, l = 2 m</t>
  </si>
  <si>
    <t>199,046/2</t>
  </si>
  <si>
    <t>;ztratné 7%; 6,96661</t>
  </si>
  <si>
    <t>Přesun hmot pro povlakové krytiny, výšky do 36 m</t>
  </si>
  <si>
    <t>Izolace tepelné</t>
  </si>
  <si>
    <t>Odstr.tep.izolace stropů,volně, EPS tl. do 100 mm</t>
  </si>
  <si>
    <t>Izolace tepelná střech, desky, na lepidlo PUK</t>
  </si>
  <si>
    <t>kotevní plán - dodavatelskou dokumentací</t>
  </si>
  <si>
    <t>Deska izolační PIR - Alu fólie 1250x625x 80 mm</t>
  </si>
  <si>
    <t>;ztratné 5%; 56,06</t>
  </si>
  <si>
    <t>3,36*(2,28+4,1+3,45)+3,33*(2,28+4,1+5,5)+(3,24+3,38+3,29)*(2,28+5,5)</t>
  </si>
  <si>
    <t>Přesun hmot pro izolace tepelné, výšky do 36 m</t>
  </si>
  <si>
    <t>Vnitřní kanalizace</t>
  </si>
  <si>
    <t>Souprava hlavice ventilační střešní litinová DN100</t>
  </si>
  <si>
    <t>Demontáž střešní vpusti DN 100</t>
  </si>
  <si>
    <t>Vtok střešní PP HL62.1BH pro pochůznou střechu</t>
  </si>
  <si>
    <t>živičný pás, nerez mřížka vyhřívaná D 75,110,125mm</t>
  </si>
  <si>
    <t>integrovaná PVC manžeta, ochranná mřížka vyhřívaná, D dle napojení (75,110,125mm), s atypicky dlouhým napájecím kabelem (10 - 27 m)</t>
  </si>
  <si>
    <t>Přepad bezpečnostní atikový plast 150/150</t>
  </si>
  <si>
    <t>Přesun hmot pro vnitřní kanalizaci, výšky do 36 m</t>
  </si>
  <si>
    <t>Vnitřní vodovod</t>
  </si>
  <si>
    <t>Ventil mrazuvzdorný  plus DN 20</t>
  </si>
  <si>
    <t>Oprava-přeřezání ocelové trubky DN 25</t>
  </si>
  <si>
    <t>slepé vedení, PRV07</t>
  </si>
  <si>
    <t>Zazátkování vývodu</t>
  </si>
  <si>
    <t>Konstrukce tesařské</t>
  </si>
  <si>
    <t>Demontáž bednění střech rovných z prken hrubých</t>
  </si>
  <si>
    <t>Montáž bednění střech rovných, prkna hrubá na sraz</t>
  </si>
  <si>
    <t>Impregnace řeziva máčením fungicidní a insekticidní nátěr</t>
  </si>
  <si>
    <t>149,689</t>
  </si>
  <si>
    <t>Spojovací a ochranné prostředky pro střechy</t>
  </si>
  <si>
    <t>149,689*0,024</t>
  </si>
  <si>
    <t>Přesun hmot pro tesařské konstrukce, výšky do 36 m</t>
  </si>
  <si>
    <t>Konstrukce klempířské</t>
  </si>
  <si>
    <t>Demontáž krytiny, tabule 2 x 1 m, do 25 m2, do 45°</t>
  </si>
  <si>
    <t>z Cu plechu</t>
  </si>
  <si>
    <t>Demontáž oplechování zdí</t>
  </si>
  <si>
    <t>z plechu Cu</t>
  </si>
  <si>
    <t>91+2,5+8+7+13+0,5+45+2,3+18</t>
  </si>
  <si>
    <t>Demontáž oplechování parapetů</t>
  </si>
  <si>
    <t>18,5+2+2,2+7,3</t>
  </si>
  <si>
    <t>Vodorovná doprava suti a hmot po suchu do 6000 m</t>
  </si>
  <si>
    <t>Výkup kovů - měď, staré kusy a plechy</t>
  </si>
  <si>
    <t>Krytina hladká z Cu, svitky š. 670mm, sklon do 30°</t>
  </si>
  <si>
    <t>plocha do 25 m2</t>
  </si>
  <si>
    <t>Oplechování zdí z Cu plechu, rš 330 mm</t>
  </si>
  <si>
    <t>91+2,5</t>
  </si>
  <si>
    <t>K01, K03</t>
  </si>
  <si>
    <t>Oplechování zdí z Cu plechu, rš 250 mm</t>
  </si>
  <si>
    <t>K04</t>
  </si>
  <si>
    <t>Lemování z Cu zdí, plochých střech, rš 660 mm</t>
  </si>
  <si>
    <t>7+13</t>
  </si>
  <si>
    <t>K02, K05</t>
  </si>
  <si>
    <t>Lemování z Cu zdí, plochých střech, rš 250 mm</t>
  </si>
  <si>
    <t>0,5</t>
  </si>
  <si>
    <t>K06</t>
  </si>
  <si>
    <t>Odpadní trouby z Cu plechu, kruhové, D 100 mm</t>
  </si>
  <si>
    <t>5+3,5</t>
  </si>
  <si>
    <t>K08, K09</t>
  </si>
  <si>
    <t>Žlaby z Cu plechu podokapní půlkruhové, rš 250 mm</t>
  </si>
  <si>
    <t>2*18</t>
  </si>
  <si>
    <t>K10</t>
  </si>
  <si>
    <t>Krytina z Cu plechu železobetonových desek</t>
  </si>
  <si>
    <t>1,7*0,5*2;K11, K12;+2,3*0,5;K13;+1,4*0,72+1,9*1,47+1,8*0,52;K14;+1,3*0,72+1,9*0,47+1,8*0,52;K15</t>
  </si>
  <si>
    <t>1,3*0,72+1,8*0,47+1,8*0,52;K16;+1,4*0,72+1,8*0,47+1,8*0,52;K17;+1,6*0,5;K18;+1,7*0,5;K19</t>
  </si>
  <si>
    <t>1,6*0,4;K20</t>
  </si>
  <si>
    <t>oplechování komínových hlav</t>
  </si>
  <si>
    <t>Závětrná lišta z Cu plechu, rš 250 mm</t>
  </si>
  <si>
    <t>115+47</t>
  </si>
  <si>
    <t>K21, K22</t>
  </si>
  <si>
    <t>Závětrná lišta z Cu plechu, rš 330 mm</t>
  </si>
  <si>
    <t>13+8</t>
  </si>
  <si>
    <t>K23, K24</t>
  </si>
  <si>
    <t>Oplechování zdí z Cu plechu, rš 400 mm</t>
  </si>
  <si>
    <t>K25</t>
  </si>
  <si>
    <t>Oplechování parapetů včetně rohů z Cu, rš 200 mm</t>
  </si>
  <si>
    <t>2,2</t>
  </si>
  <si>
    <t>K30</t>
  </si>
  <si>
    <t>Oplechování parapetů včetně rohů z Cu, rš 160 mm</t>
  </si>
  <si>
    <t>18,5</t>
  </si>
  <si>
    <t>K27</t>
  </si>
  <si>
    <t>Oplechování parapetů včetně rohů z Cu, rš 250 mm</t>
  </si>
  <si>
    <t>7,3</t>
  </si>
  <si>
    <t>K31</t>
  </si>
  <si>
    <t>Oplechování okapů Cu, živičná krytina, rš 250 mm</t>
  </si>
  <si>
    <t>K32</t>
  </si>
  <si>
    <t>501</t>
  </si>
  <si>
    <t>K34</t>
  </si>
  <si>
    <t>Oprava dlažby z bet. desek do 20 m2, 90 kg, 10 cm</t>
  </si>
  <si>
    <t>27*0,2</t>
  </si>
  <si>
    <t>oprava teracových parapetů</t>
  </si>
  <si>
    <t>K28</t>
  </si>
  <si>
    <t>Přesun hmot pro klempířské konstr., výšky do 36 m</t>
  </si>
  <si>
    <t>Konstrukce doplňkové stavební (zámečnické)</t>
  </si>
  <si>
    <t>Repase stávajících zábradlí s výměnou či doplň.prvků vč.oprav nátěrů</t>
  </si>
  <si>
    <t>32+33+62</t>
  </si>
  <si>
    <t>Z07, Z08, Z09</t>
  </si>
  <si>
    <t>Montáž žebříků do zdiva</t>
  </si>
  <si>
    <t>2,96*10</t>
  </si>
  <si>
    <t>Žebřík ocelový z trubek, pozink, nátěr - replika</t>
  </si>
  <si>
    <t>Z01-Z6,Z11-Z14</t>
  </si>
  <si>
    <t>Montáž komínových lávek-kompletní lávka</t>
  </si>
  <si>
    <t>1,19*8</t>
  </si>
  <si>
    <t>Komínová  lávka z trubek</t>
  </si>
  <si>
    <t>1,1*8</t>
  </si>
  <si>
    <t>Z01-Z02, Z5, Z6,Z11-Z14</t>
  </si>
  <si>
    <t>Oprava stávajících OK přes 50kg s výměnou či doplň.prvků vč.oprav nátěrů</t>
  </si>
  <si>
    <t>2*150</t>
  </si>
  <si>
    <t>Z10</t>
  </si>
  <si>
    <t>Oprava a úprava stávajících atypických kovových konstrukcí do 50kg</t>
  </si>
  <si>
    <t xml:space="preserve"> s výměnou či doplněním prvků</t>
  </si>
  <si>
    <t>Z16</t>
  </si>
  <si>
    <t>Oprava stávajících OK do 50kg</t>
  </si>
  <si>
    <t>s výměnou či doplň.prvků vč.oprav nátěrů</t>
  </si>
  <si>
    <t>dveře D01, D02, D03, D06, D07, D08, D09, D10</t>
  </si>
  <si>
    <t>Dveře D04, D05, POV-okno vjezdu do garáží</t>
  </si>
  <si>
    <t>Vybourání kovových rámů oken jednod. nad 4 m2</t>
  </si>
  <si>
    <t>4*1,2;vjezd do garáže</t>
  </si>
  <si>
    <t>Montáž oken jednoduchých,do ocel.kons., do 100 kg</t>
  </si>
  <si>
    <t>Oprava stávajících OK do 50kg s výměnou či doplň.prvků vč.oprav nátěrů</t>
  </si>
  <si>
    <t>Z19</t>
  </si>
  <si>
    <t>Demontáž atypických ocelových konstr. do 50 kg</t>
  </si>
  <si>
    <t>PRV16, PRV17, PRV19</t>
  </si>
  <si>
    <t>Přesun hmot pro zámečnické konstr., výšky do 36 m</t>
  </si>
  <si>
    <t>Obklady (keramické)</t>
  </si>
  <si>
    <t>Oprava obkladů z obkl.cihelných režných 250x65 mm</t>
  </si>
  <si>
    <t>50; odhad</t>
  </si>
  <si>
    <t>V místech, kde je na zdivu proveden keramický obklad, bude obklad očištěn, chybějící části budou doplněny obdobným obkladem, a bude provedeno vyspárování. Doplnění chybějících či poškozených obkladů bude provedeno shodnými obkladačkami.
Při předchozích opravách obkladu objektu byla zajištěna zásoba schváleného typu keramických tvarovek, tyto budou použity na opravy v místech stávajících sprch.</t>
  </si>
  <si>
    <t>Obkládání parapetů do tmele šířky do 150 mm</t>
  </si>
  <si>
    <t>Tvarovka keramická  - atypický výrobek</t>
  </si>
  <si>
    <t>61*3,3</t>
  </si>
  <si>
    <t>;ztratné 10%; 20,13</t>
  </si>
  <si>
    <t>atyp. tvarovka bude vzorkována a schválena</t>
  </si>
  <si>
    <t>Přesun hmot pro obklady keramické, výšky do 36 m</t>
  </si>
  <si>
    <t>Nátěry</t>
  </si>
  <si>
    <t>Nátěr betonových povrchů vodoodpudivý  2x</t>
  </si>
  <si>
    <t>např.: 1komponentní nátěr na bázi akrylových pryskyřic, obsahuje rozpouštědla, odolný proti povětrnostním vlivům, proti alkáliím a proti stárnutí. Je k dispozici jako transparentní nebo barevný, vhodný pro minerální podklady včetně betonu a dalších cementových povrchů.
 Chrání beton před agresivními vlivy atmosféry a podporuje samočisticí efekt ošetřovaných betonových ploch. Nemění  charakteristickou strukturu betonu,
 vyhovuje požadavkům ČSN EN 1504-2 jako ochranný nátěr.</t>
  </si>
  <si>
    <t>Oprava nátěrů kovových konstrukcí syntet. lakem oškrábání, odrezivění, 1x krycí + 1x email</t>
  </si>
  <si>
    <t>2,21*1,6*2;O01;+4,57*2,12*2;O02;+4,14*2,12*2;O03;+4,55*2,12*2;O04;+2,25*1,58*2;O05;+4,58*2,12*2;O06</t>
  </si>
  <si>
    <t>4,16*2,12*2;O07;+4,47*2,12*2;O08;+1,92*1,55*2;O09;+2,15*1,57*2;O10;+2,5*1,6*2;O11</t>
  </si>
  <si>
    <t>PRV01, PRV02, PRV03, PRV04, PRV05</t>
  </si>
  <si>
    <t>Malby</t>
  </si>
  <si>
    <t>Penetrace před tmelením trhlin akryl. tmelem</t>
  </si>
  <si>
    <t>Tmelení trhlin v omítce š. do 4 mm akryl. tmelem</t>
  </si>
  <si>
    <t>PRV06</t>
  </si>
  <si>
    <t>Zasklívání</t>
  </si>
  <si>
    <t>Vysklívání stěn - sklo ploché do 3 m2</t>
  </si>
  <si>
    <t>4,57*2,12;O02;+4,14*2,12;O03;+4,55*2,12;O04;+2,25*1,58;O05;+4,58*2,12;O06</t>
  </si>
  <si>
    <t>4,16*2,12;O07;+4,47*2,1;O08;+2,15*1,57;O10;+2,5*1,6;O11</t>
  </si>
  <si>
    <t>Zasklívání stěn s tmelením,válc.s dr.vložkou 6-8mm</t>
  </si>
  <si>
    <t>2,25*1,58;O05;+2,15*1,57;O10;+2,5*1,6;O11</t>
  </si>
  <si>
    <t>Sklo ploché s drátěnou vložkou čiré tl. 6 mm</t>
  </si>
  <si>
    <t>15,731</t>
  </si>
  <si>
    <t>drátosklo bude vzorkováno a schváleno</t>
  </si>
  <si>
    <t>Zasklívání stěn, do těsnění, bezpečnostní 6 mm</t>
  </si>
  <si>
    <t>4,57*1,32;O02;+4,14*1,32;O03;+4,55*1,32;O04;+4,55*1,32;O06;+4,16*1,32;O07;+4,47*1,32;O08</t>
  </si>
  <si>
    <t>Sklo bezpečnostní vícevrstvé  tl. 6,4 mm</t>
  </si>
  <si>
    <t>34,901</t>
  </si>
  <si>
    <t>4,57*0,8;O02;+4,14*0,8;O03;+4,55*0,8;O04;+4,55*0,8;O06;+4,16*0,8;O07;+4,47*0,8;O08</t>
  </si>
  <si>
    <t>21,152</t>
  </si>
  <si>
    <t>Přesun hmot pro zasklívání, výšky do 36 m</t>
  </si>
  <si>
    <t>Lešení a stavební výtahy</t>
  </si>
  <si>
    <t>Nájem výtahu osobonákladního v.21-30 m</t>
  </si>
  <si>
    <t>Montáž stavebního výtahu osobonákladního v.21-30 m</t>
  </si>
  <si>
    <t>22*2</t>
  </si>
  <si>
    <t xml:space="preserve"> jedná se o 1ks výtahu, který bude montován/demontován ve dvou pozicích</t>
  </si>
  <si>
    <t>Demontáž stavebního výtahu osobonákladního v.21-30 m</t>
  </si>
  <si>
    <t>2*22</t>
  </si>
  <si>
    <t>Pronájem rukávu proti prachu délky 20 m</t>
  </si>
  <si>
    <t>Montáž a demontáž shozu za 2.NP</t>
  </si>
  <si>
    <t>Přípl. k mont.a dem. shozu za každé další podlaží</t>
  </si>
  <si>
    <t>Pronájem shozu  (za metr)</t>
  </si>
  <si>
    <t>Pronájem násypky  (za kus)</t>
  </si>
  <si>
    <t>Různé dokončovací konstrukce a práce na pozemních stavbách</t>
  </si>
  <si>
    <t>Otryskání ploch pískem FP, líců kleneb</t>
  </si>
  <si>
    <t>Odklizení písku po tryskání do 1000 m</t>
  </si>
  <si>
    <t>15,8491</t>
  </si>
  <si>
    <t>Příplatek při odklizení písku za dalších 1000 m</t>
  </si>
  <si>
    <t>15,849*20</t>
  </si>
  <si>
    <t>Osazení železných ventilací o ploše do 0,10 m2</t>
  </si>
  <si>
    <t>Mřížka čtyřhranná KMM vel. 250x160.30, do zdi</t>
  </si>
  <si>
    <t>Z15</t>
  </si>
  <si>
    <t>Zakrývání provizorní plachtou 15x20m,vč.odstranění</t>
  </si>
  <si>
    <t>Vložení těsnicího provazce do dilatační spáry</t>
  </si>
  <si>
    <t>7+7,4</t>
  </si>
  <si>
    <t>Vložky do dilatačních spár, polystyren, tl 20 mm STYRODUR</t>
  </si>
  <si>
    <t>(7+7,4)*0,16</t>
  </si>
  <si>
    <t>Ochrana stromu bedněním - zřízení</t>
  </si>
  <si>
    <t>3*1*4</t>
  </si>
  <si>
    <t>Ochrana stromu bedněním - odstranění</t>
  </si>
  <si>
    <t>Přesun hmot pro opravy a údržbu do výšky 36 m</t>
  </si>
  <si>
    <t>Bourání konstrukcí</t>
  </si>
  <si>
    <t>Bourání lehčených mazanin tl. nad 10 cm, pl. 4 m2</t>
  </si>
  <si>
    <t>ručně, tl. mazaniny 15 - 20 cm</t>
  </si>
  <si>
    <t>(277,9+426,15+37,05*4+272,51)*0,15</t>
  </si>
  <si>
    <t>Bourání dlažeb terac.,čedič. tl.do 30 mm, nad 1 m2</t>
  </si>
  <si>
    <t>ručně, dlaždice teracové</t>
  </si>
  <si>
    <t>277,9+426,15+37,05*4+272,51</t>
  </si>
  <si>
    <t>Bourání mazanin betonových tl. 10 cm, pl. 1 m2</t>
  </si>
  <si>
    <t>ručně tl. mazaniny 5 - 8 cm</t>
  </si>
  <si>
    <t>(277,9+426,15+37,05*4+272,51)*0,06</t>
  </si>
  <si>
    <t>Broušení betonových povrchů do tl. 5 mm</t>
  </si>
  <si>
    <t>309,34</t>
  </si>
  <si>
    <t>Otlučení omítek vnějších MVC v složit.1-4 do 100 %</t>
  </si>
  <si>
    <t>Demontáž kompletní celé lávky</t>
  </si>
  <si>
    <t>Demontáž atypických ocelových konstrukcí</t>
  </si>
  <si>
    <t>do 50 kg/kus</t>
  </si>
  <si>
    <t>33,45</t>
  </si>
  <si>
    <t>Výkup kovů - železný šrot tl. nad 4 mm</t>
  </si>
  <si>
    <t>Svislá doprava suti a vybour. hmot za 2.NP a 1.PP</t>
  </si>
  <si>
    <t>Příplatek za každé další podlaží</t>
  </si>
  <si>
    <t>607,26433*5</t>
  </si>
  <si>
    <t>Vnitrostaveništní doprava suti do 10 m</t>
  </si>
  <si>
    <t>Příplatek k vnitrost. dopravě suti za dalších 5 m</t>
  </si>
  <si>
    <t>Kontejner, suť, odvoz a likvidace,12 t</t>
  </si>
  <si>
    <t>Elektromontáže</t>
  </si>
  <si>
    <t>Elektromontáže dle samostatné kalkulace</t>
  </si>
  <si>
    <t>Doba výstavby:</t>
  </si>
  <si>
    <t>Začátek výstavby:</t>
  </si>
  <si>
    <t>Konec výstavby:</t>
  </si>
  <si>
    <t>Zpracováno dne:</t>
  </si>
  <si>
    <t>omítka hrubozrná se slídou</t>
  </si>
  <si>
    <t>S4</t>
  </si>
  <si>
    <t>květníky</t>
  </si>
  <si>
    <t>S4 cca 10% plochy střechy</t>
  </si>
  <si>
    <t>S01a</t>
  </si>
  <si>
    <t>S01b</t>
  </si>
  <si>
    <t>S02</t>
  </si>
  <si>
    <t>S01-02</t>
  </si>
  <si>
    <t>S1-S2,</t>
  </si>
  <si>
    <t>S03 střecha S4</t>
  </si>
  <si>
    <t>S01,S02, S03</t>
  </si>
  <si>
    <t>S01-S02</t>
  </si>
  <si>
    <t>S04</t>
  </si>
  <si>
    <t>Z17</t>
  </si>
  <si>
    <t>Z18</t>
  </si>
  <si>
    <t>2 protilehlé ks na jeden prostup</t>
  </si>
  <si>
    <t>repase vlajkových stožárů</t>
  </si>
  <si>
    <t>repase stožáru antény</t>
  </si>
  <si>
    <t>litinové potrubí</t>
  </si>
  <si>
    <t>odhad</t>
  </si>
  <si>
    <t>materiál investora</t>
  </si>
  <si>
    <t>obklad atik</t>
  </si>
  <si>
    <t>parapetní část</t>
  </si>
  <si>
    <t>S4 otryskání bet.povrchů</t>
  </si>
  <si>
    <t>zakrývání fasád</t>
  </si>
  <si>
    <t>dilatace střech</t>
  </si>
  <si>
    <t>S01-02 odhad</t>
  </si>
  <si>
    <t>žebřík</t>
  </si>
  <si>
    <t>18.02.2021</t>
  </si>
  <si>
    <t>MJ</t>
  </si>
  <si>
    <t>kus</t>
  </si>
  <si>
    <t>m2</t>
  </si>
  <si>
    <t>m3</t>
  </si>
  <si>
    <t>m</t>
  </si>
  <si>
    <t>t</t>
  </si>
  <si>
    <t>kg</t>
  </si>
  <si>
    <t>soubor</t>
  </si>
  <si>
    <t>den</t>
  </si>
  <si>
    <t>podlaž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</si>
  <si>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</si>
  <si>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</si>
  <si>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</si>
  <si>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</si>
  <si>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</si>
  <si>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</si>
  <si>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</si>
  <si>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SNEO, a.s. s.r.o., Nad Alejí 1876/2 , Praha 6</t>
  </si>
  <si>
    <t>VMSprojekt s.r.o.</t>
  </si>
  <si>
    <t>Dle výběru investora</t>
  </si>
  <si>
    <t>František Polan</t>
  </si>
  <si>
    <t>Náklady (Kč)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</si>
  <si>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</si>
  <si>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</si>
  <si>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</si>
  <si>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</si>
  <si>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</si>
  <si>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</si>
  <si>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</si>
  <si>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</si>
  <si>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RTS II / 2020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</si>
  <si>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</si>
  <si>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</si>
  <si>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</si>
  <si>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</si>
  <si>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</si>
  <si>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</si>
  <si>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</si>
  <si>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</si>
  <si>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</si>
  <si>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</si>
  <si>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</si>
  <si>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62_</t>
  </si>
  <si>
    <t>63_</t>
  </si>
  <si>
    <t>712_</t>
  </si>
  <si>
    <t>713_</t>
  </si>
  <si>
    <t>721_</t>
  </si>
  <si>
    <t>722_</t>
  </si>
  <si>
    <t>762_</t>
  </si>
  <si>
    <t>764_</t>
  </si>
  <si>
    <t>767_</t>
  </si>
  <si>
    <t>781_</t>
  </si>
  <si>
    <t>783_</t>
  </si>
  <si>
    <t>784_</t>
  </si>
  <si>
    <t>787_</t>
  </si>
  <si>
    <t>94_</t>
  </si>
  <si>
    <t>95_</t>
  </si>
  <si>
    <t>96_</t>
  </si>
  <si>
    <t>M21_</t>
  </si>
  <si>
    <t>3_</t>
  </si>
  <si>
    <t>6_</t>
  </si>
  <si>
    <t>71_</t>
  </si>
  <si>
    <t>72_</t>
  </si>
  <si>
    <t>76_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</si>
  <si>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</si>
  <si>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</si>
  <si>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</si>
  <si>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</si>
  <si>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</si>
  <si>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</si>
  <si>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</si>
  <si>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</si>
  <si>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</si>
  <si>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</si>
  <si>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</si>
  <si>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</si>
  <si>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</si>
  <si>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</si>
  <si>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</si>
  <si>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</si>
  <si>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</si>
  <si>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</si>
  <si>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</si>
  <si>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</si>
  <si>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</si>
  <si>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</si>
  <si>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</si>
  <si>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</si>
  <si>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</si>
  <si>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</si>
  <si>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</si>
  <si>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Destruktivní průzkum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</si>
  <si>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</si>
  <si>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</si>
  <si>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</si>
  <si>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</si>
  <si>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</si>
  <si>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</si>
  <si>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</si>
  <si>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</si>
  <si>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</si>
  <si>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</si>
  <si>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</si>
  <si>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</si>
  <si>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</si>
  <si>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</si>
  <si>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</si>
  <si>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</si>
  <si>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</si>
  <si>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</si>
  <si>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</si>
  <si>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</si>
  <si>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</si>
  <si>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</si>
  <si>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</si>
  <si>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</si>
  <si>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27114112/</t>
  </si>
  <si>
    <t>27394361/cz27394361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</si>
  <si>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</si>
  <si>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</si>
  <si>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</si>
  <si>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</si>
  <si>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</si>
  <si>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</si>
  <si>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</si>
  <si>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konzultace s NPÚ, vzorky, kulturní památka</t>
  </si>
  <si>
    <t>ztížená doprava</t>
  </si>
  <si>
    <t>územní vlivy</t>
  </si>
  <si>
    <t>Dokumentace skutečného provedení</t>
  </si>
  <si>
    <t>Celkem ORN</t>
  </si>
  <si>
    <t>Vedlejší a ostatní rozpočtové náklady</t>
  </si>
  <si>
    <t>Kč</t>
  </si>
  <si>
    <t>%</t>
  </si>
  <si>
    <t>Základna</t>
  </si>
  <si>
    <t>akce: BD NÁM.SVOBODY, PRAHA 6 - REKONSTRUKCE STŘEŠNÍHO PLÁŠTĚ</t>
  </si>
  <si>
    <t>název objektu:D.1.4.6. SILNOPROUDÁ ELEKTROTECHNIKA A
                                    BLESKOSVOD</t>
  </si>
  <si>
    <t>materiál</t>
  </si>
  <si>
    <t>montáž</t>
  </si>
  <si>
    <t>č.</t>
  </si>
  <si>
    <t>Kód položky</t>
  </si>
  <si>
    <t>Název</t>
  </si>
  <si>
    <t>počet</t>
  </si>
  <si>
    <t xml:space="preserve">cena </t>
  </si>
  <si>
    <t>celkem</t>
  </si>
  <si>
    <t>cena</t>
  </si>
  <si>
    <t xml:space="preserve">   </t>
  </si>
  <si>
    <t xml:space="preserve">REKAPITULACE </t>
  </si>
  <si>
    <t xml:space="preserve">                 </t>
  </si>
  <si>
    <t>Silnoproud - montážní materiál</t>
  </si>
  <si>
    <t>Silnoproud - montážní práce</t>
  </si>
  <si>
    <t>Bleskosvod - montážní materiál</t>
  </si>
  <si>
    <t>Bleskosvod - montážní práce</t>
  </si>
  <si>
    <t>Vytápění střešních vpustí materiál</t>
  </si>
  <si>
    <t>Vytápění střešních vpustí práce</t>
  </si>
  <si>
    <t xml:space="preserve">Náklady celkem bez DPH </t>
  </si>
  <si>
    <t>SILNOPROUD</t>
  </si>
  <si>
    <t>341 11030 744 44-1100</t>
  </si>
  <si>
    <t xml:space="preserve">CYKY-O 3x1,5  -  uložený pevně   </t>
  </si>
  <si>
    <t>341 11032 744 44-1100</t>
  </si>
  <si>
    <t xml:space="preserve">CYKY-J 3x1,5  -  uložený pevně   </t>
  </si>
  <si>
    <t>341 42158 743 61-9242</t>
  </si>
  <si>
    <t xml:space="preserve">CY (H05V-U) 10 zelenožlutý  -  ochranné  pospojení </t>
  </si>
  <si>
    <t>746 21-1140</t>
  </si>
  <si>
    <t xml:space="preserve">Ukončení vodiče  do  10 mm2  </t>
  </si>
  <si>
    <t>ks</t>
  </si>
  <si>
    <t>746 41-3150</t>
  </si>
  <si>
    <t>Ukončení kabelu  do 3 x 4  mm2</t>
  </si>
  <si>
    <t>345 72114 743 31-2120</t>
  </si>
  <si>
    <t xml:space="preserve">Lišta vkládací  40x20                </t>
  </si>
  <si>
    <t>345 64010 743 41-4321</t>
  </si>
  <si>
    <t>Rozvodková krabice   IP54  5x4mm</t>
  </si>
  <si>
    <t>345 35703 747 11-1126</t>
  </si>
  <si>
    <t>Spínač  kolébkový 10 A  řaz.6, IP54, montáž na povrch</t>
  </si>
  <si>
    <t xml:space="preserve">Lišta vkládací  LH 40x20                </t>
  </si>
  <si>
    <t>R.položka</t>
  </si>
  <si>
    <t xml:space="preserve">Úprava stávajícího rozvaděče
- uprava krycích plechu, příprava pro osazení 7ks modulů přístrojů, vyvedení kabelu
- 1ks proud.chránič s nadproudou spouští B10/0.03
- 1ks svodič přepětí 3 póly, typ1+2 
</t>
  </si>
  <si>
    <t>Svítidlo - porcelánová patice v krytí IP44 se skleněným opálovým krytem tvaru koule, závit E27, osazeno LED E27, 11W</t>
  </si>
  <si>
    <t>974 03-1110</t>
  </si>
  <si>
    <t>Sekání rýhy ve zdivu  30 x 30 mm</t>
  </si>
  <si>
    <t>971 03-3200</t>
  </si>
  <si>
    <t>Sekání otvoru  ve zdivu pr.60mm do 300mm</t>
  </si>
  <si>
    <t>R položka</t>
  </si>
  <si>
    <t>Stavební přípomoce nutné k řádnému dokončení díla</t>
  </si>
  <si>
    <t>h</t>
  </si>
  <si>
    <t xml:space="preserve">Demontáž stáv. el.rozvodů </t>
  </si>
  <si>
    <t xml:space="preserve">Projektová dokumentace skutečného provedení       </t>
  </si>
  <si>
    <t xml:space="preserve">celková prohlídka a vyhotovení revizní zprávy </t>
  </si>
  <si>
    <t xml:space="preserve">Zkoušky a prohlídky rozvodných zařízení kontrola rozváděčů nn, </t>
  </si>
  <si>
    <t xml:space="preserve">Součet                                          </t>
  </si>
  <si>
    <t>BLESKOSVOD</t>
  </si>
  <si>
    <t xml:space="preserve">  R položka</t>
  </si>
  <si>
    <t>Drát jímací Cu pr.8mm polotvrdý, montáž jímače vč. podpěr 0,45kg/1m</t>
  </si>
  <si>
    <t xml:space="preserve">m </t>
  </si>
  <si>
    <t xml:space="preserve">SET - sestava pro ochranu stožáru vysokonapěťovým izolovaným vodičem délky 5m a hrotem (jímací tyčí 0,5m)                                                               + podpůrná trubka délky 2700mm + uchycení + izol. podpěry + příslušenství </t>
  </si>
  <si>
    <t xml:space="preserve">Tyč jímací  JR2,0 Cu bez osazení            </t>
  </si>
  <si>
    <t xml:space="preserve">Izolační tyč délky 0,5m včetně upevnění -          </t>
  </si>
  <si>
    <t>držák jímací tyče DJD Cu</t>
  </si>
  <si>
    <t xml:space="preserve">Podpěra vedení  PV 1 Cu </t>
  </si>
  <si>
    <t>Podpěra vedení  PV 21+nástavec - vč. přilelení</t>
  </si>
  <si>
    <t>354 41860 743 62-2200</t>
  </si>
  <si>
    <t>Svorka  SJ 1 Cu k jímací tyči</t>
  </si>
  <si>
    <t>354 41905 743 62-2200</t>
  </si>
  <si>
    <t xml:space="preserve">Svorka  SO Cu nerez k připojení okapu </t>
  </si>
  <si>
    <t>354 41885 743 62-2200</t>
  </si>
  <si>
    <t xml:space="preserve">Svorka  SS Cu spojovací       </t>
  </si>
  <si>
    <t xml:space="preserve">Svorka  SS nerez spojovací       </t>
  </si>
  <si>
    <t>354 41875 743 62-2200</t>
  </si>
  <si>
    <t xml:space="preserve">Svorka  SK Cu křížová         </t>
  </si>
  <si>
    <t>354 41895 743 62-2200</t>
  </si>
  <si>
    <t xml:space="preserve">Svorka  SP 1 nerez připojovací   </t>
  </si>
  <si>
    <t>354 41986 743 62-2200</t>
  </si>
  <si>
    <t>Svorka  ST 10 nerez na okap. troubu do 150mm</t>
  </si>
  <si>
    <t>Revize uzemnění stávajících svodů objektu</t>
  </si>
  <si>
    <t>Dílenská dokumentace stávajícího stavu - skutečního provedení</t>
  </si>
  <si>
    <t>Demontáž stvajícího bleskosvodu</t>
  </si>
  <si>
    <t>Odstranění stávajících nevyužívaných antén a zařízení na střeše</t>
  </si>
  <si>
    <t xml:space="preserve">celková prohlídka a vyhotovení revizní zprávy pro objem montážních prací </t>
  </si>
  <si>
    <t>VYTÁPĚNÍ STŘEŠNÍCH VPUSTÍ</t>
  </si>
  <si>
    <t>341 21554 744 74-1110</t>
  </si>
  <si>
    <t xml:space="preserve">JYTY 2x1  -  uložený pevně   </t>
  </si>
  <si>
    <t xml:space="preserve">uložení kabelů vpustí volně pod izolaci  </t>
  </si>
  <si>
    <t>210810005RT1</t>
  </si>
  <si>
    <t>Kabel CYKY-m 750 V 3 x 1,5 mm2 volně uložený</t>
  </si>
  <si>
    <t>210010012RT1</t>
  </si>
  <si>
    <t>Trubka tuhá z PVC volně/pod omítku + kolena 23 mm</t>
  </si>
  <si>
    <t xml:space="preserve">Rozvaděč REG
- plastová skříň 12 modulů, IP65, průhledné dveře
- proudový chránič.s nadproudou spouští 6/1N/B/0.03
- intervalový termostat včetně čidla
</t>
  </si>
  <si>
    <t xml:space="preserve">Montáž čidla venkovní teploty </t>
  </si>
  <si>
    <t>omítka MVC hrubozrnná s příměsí slídy, vzorkováno</t>
  </si>
  <si>
    <t>Stratigrafický průzkum  pro odsouhl. Barevnosti</t>
  </si>
  <si>
    <t>Omítka stropů sanace betonu, ručně tloušťka vrstvy 20 mm</t>
  </si>
  <si>
    <t>Ochranný nátěr betonářské oceli pro sanaci ocelové výztuže</t>
  </si>
  <si>
    <t>Montáž parozábrany, ploché střechy, přelep. Spojů</t>
  </si>
  <si>
    <t>název objektu:D.1.4.6. SILNOPROUDÁ ELEKTROTECHNIKA A  BLESKOSVOD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</si>
</sst>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dd/mm/yy"/>
    <numFmt numFmtId="175" formatCode="dd\.mmmm\.yy"/>
    <numFmt numFmtId="176" formatCode="#,##0.000"/>
    <numFmt numFmtId="177" formatCode="#,##0.0"/>
  </numFmts>
  <fonts count="5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u val="single"/>
      <sz val="11"/>
      <color indexed="20"/>
      <name val="Arial CE"/>
      <family val="0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sz val="8"/>
      <color indexed="56"/>
      <name val="Arial"/>
      <family val="0"/>
    </font>
    <font>
      <b/>
      <sz val="8"/>
      <color indexed="56"/>
      <name val="Arial"/>
      <family val="0"/>
    </font>
    <font>
      <sz val="8"/>
      <color indexed="61"/>
      <name val="Arial"/>
      <family val="0"/>
    </font>
    <font>
      <sz val="8"/>
      <color indexed="8"/>
      <name val="Arial"/>
      <family val="0"/>
    </font>
    <font>
      <i/>
      <sz val="8"/>
      <color indexed="63"/>
      <name val="Arial"/>
      <family val="0"/>
    </font>
    <font>
      <i/>
      <sz val="8"/>
      <color indexed="50"/>
      <name val="Arial"/>
      <family val="0"/>
    </font>
    <font>
      <i/>
      <sz val="8"/>
      <color indexed="58"/>
      <name val="Arial"/>
      <family val="0"/>
    </font>
    <font>
      <i/>
      <sz val="8"/>
      <color indexed="59"/>
      <name val="Arial"/>
      <family val="0"/>
    </font>
    <font>
      <i/>
      <sz val="8"/>
      <color indexed="17"/>
      <name val="Arial"/>
      <family val="0"/>
    </font>
    <font>
      <sz val="8"/>
      <color indexed="62"/>
      <name val="Arial"/>
      <family val="0"/>
    </font>
    <font>
      <i/>
      <sz val="8"/>
      <color indexed="51"/>
      <name val="Arial"/>
      <family val="0"/>
    </font>
    <font>
      <b/>
      <sz val="8"/>
      <color indexed="8"/>
      <name val="Arial"/>
      <family val="0"/>
    </font>
    <font>
      <sz val="10"/>
      <color indexed="8"/>
      <name val="Bahnschrift"/>
      <family val="2"/>
    </font>
    <font>
      <b/>
      <sz val="10"/>
      <color indexed="8"/>
      <name val="Bahnschrift"/>
      <family val="2"/>
    </font>
    <font>
      <b/>
      <sz val="26"/>
      <color indexed="8"/>
      <name val="Desyrel"/>
      <family val="0"/>
    </font>
  </fonts>
  <fills count="2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1" applyNumberFormat="0" applyFill="0" applyAlignment="0" applyProtection="0"/>
    <xf numFmtId="17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17" borderId="2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0" applyProtection="0">
      <alignment/>
    </xf>
    <xf numFmtId="0" fontId="24" fillId="0" borderId="0">
      <alignment/>
      <protection/>
    </xf>
    <xf numFmtId="0" fontId="24" fillId="0" borderId="0" applyProtection="0">
      <alignment/>
    </xf>
    <xf numFmtId="0" fontId="24" fillId="0" borderId="0" applyProtection="0">
      <alignment/>
    </xf>
    <xf numFmtId="0" fontId="26" fillId="0" borderId="0" applyNumberFormat="0" applyFill="0" applyBorder="0" applyAlignment="0" applyProtection="0"/>
    <xf numFmtId="0" fontId="0" fillId="5" borderId="6" applyNumberFormat="0" applyFont="0" applyAlignment="0" applyProtection="0"/>
    <xf numFmtId="173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7" fillId="7" borderId="0" applyNumberFormat="0" applyBorder="0" applyAlignment="0" applyProtection="0"/>
    <xf numFmtId="0" fontId="24" fillId="0" borderId="0" applyProtection="0">
      <alignment/>
    </xf>
    <xf numFmtId="0" fontId="2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3" borderId="8" applyNumberFormat="0" applyAlignment="0" applyProtection="0"/>
    <xf numFmtId="0" fontId="30" fillId="4" borderId="8" applyNumberFormat="0" applyAlignment="0" applyProtection="0"/>
    <xf numFmtId="0" fontId="15" fillId="4" borderId="9" applyNumberFormat="0" applyAlignment="0" applyProtection="0"/>
    <xf numFmtId="0" fontId="31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</cellStyleXfs>
  <cellXfs count="29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7" fillId="2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23" borderId="0" xfId="0" applyNumberFormat="1" applyFont="1" applyFill="1" applyBorder="1" applyAlignment="1" applyProtection="1">
      <alignment horizontal="right" vertical="center"/>
      <protection/>
    </xf>
    <xf numFmtId="49" fontId="9" fillId="24" borderId="16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9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0" fillId="24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 applyProtection="1">
      <alignment wrapText="1" shrinkToFit="1"/>
      <protection locked="0"/>
    </xf>
    <xf numFmtId="0" fontId="34" fillId="0" borderId="29" xfId="0" applyFont="1" applyBorder="1" applyAlignment="1">
      <alignment horizontal="center" vertical="center"/>
    </xf>
    <xf numFmtId="49" fontId="34" fillId="0" borderId="29" xfId="0" applyNumberFormat="1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4" fillId="0" borderId="29" xfId="0" applyFont="1" applyBorder="1" applyAlignment="1">
      <alignment horizontal="right" vertical="center" wrapText="1" shrinkToFit="1"/>
    </xf>
    <xf numFmtId="0" fontId="34" fillId="0" borderId="0" xfId="0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 wrapText="1" shrinkToFit="1"/>
    </xf>
    <xf numFmtId="0" fontId="35" fillId="0" borderId="0" xfId="0" applyFont="1" applyAlignment="1">
      <alignment horizontal="center" vertical="center" wrapText="1" shrinkToFit="1"/>
    </xf>
    <xf numFmtId="49" fontId="35" fillId="0" borderId="0" xfId="0" applyNumberFormat="1" applyFont="1" applyAlignment="1">
      <alignment horizontal="left" vertical="justify" wrapText="1" shrinkToFit="1"/>
    </xf>
    <xf numFmtId="0" fontId="36" fillId="0" borderId="0" xfId="0" applyFont="1" applyAlignment="1">
      <alignment vertical="center" wrapText="1" shrinkToFit="1"/>
    </xf>
    <xf numFmtId="0" fontId="35" fillId="0" borderId="0" xfId="0" applyFont="1" applyAlignment="1">
      <alignment vertical="center" wrapText="1" shrinkToFit="1"/>
    </xf>
    <xf numFmtId="4" fontId="35" fillId="0" borderId="0" xfId="0" applyNumberFormat="1" applyFont="1" applyAlignment="1">
      <alignment vertical="center" shrinkToFit="1"/>
    </xf>
    <xf numFmtId="177" fontId="35" fillId="0" borderId="0" xfId="0" applyNumberFormat="1" applyFont="1" applyAlignment="1">
      <alignment vertical="center" shrinkToFit="1"/>
    </xf>
    <xf numFmtId="49" fontId="35" fillId="0" borderId="0" xfId="0" applyNumberFormat="1" applyFont="1" applyBorder="1" applyAlignment="1">
      <alignment horizontal="left" vertical="justify" wrapText="1" shrinkToFit="1"/>
    </xf>
    <xf numFmtId="0" fontId="35" fillId="0" borderId="0" xfId="0" applyFont="1" applyBorder="1" applyAlignment="1">
      <alignment vertical="center" wrapText="1" shrinkToFit="1"/>
    </xf>
    <xf numFmtId="177" fontId="35" fillId="0" borderId="0" xfId="0" applyNumberFormat="1" applyFont="1" applyBorder="1" applyAlignment="1">
      <alignment vertical="center" shrinkToFit="1"/>
    </xf>
    <xf numFmtId="4" fontId="35" fillId="0" borderId="0" xfId="0" applyNumberFormat="1" applyFont="1" applyBorder="1" applyAlignment="1">
      <alignment vertical="center" shrinkToFit="1"/>
    </xf>
    <xf numFmtId="0" fontId="37" fillId="0" borderId="0" xfId="0" applyFont="1" applyAlignment="1">
      <alignment horizontal="center" vertical="center" wrapText="1" shrinkToFit="1"/>
    </xf>
    <xf numFmtId="49" fontId="37" fillId="0" borderId="12" xfId="0" applyNumberFormat="1" applyFont="1" applyBorder="1" applyAlignment="1">
      <alignment vertical="center" wrapText="1" shrinkToFit="1"/>
    </xf>
    <xf numFmtId="0" fontId="37" fillId="0" borderId="12" xfId="0" applyFont="1" applyBorder="1" applyAlignment="1">
      <alignment vertical="center" wrapText="1" shrinkToFit="1"/>
    </xf>
    <xf numFmtId="177" fontId="37" fillId="0" borderId="12" xfId="0" applyNumberFormat="1" applyFont="1" applyBorder="1" applyAlignment="1">
      <alignment vertical="center" shrinkToFit="1"/>
    </xf>
    <xf numFmtId="4" fontId="37" fillId="0" borderId="12" xfId="0" applyNumberFormat="1" applyFont="1" applyBorder="1" applyAlignment="1">
      <alignment vertical="center" shrinkToFit="1"/>
    </xf>
    <xf numFmtId="4" fontId="33" fillId="0" borderId="12" xfId="0" applyNumberFormat="1" applyFont="1" applyBorder="1" applyAlignment="1">
      <alignment vertical="center" shrinkToFit="1"/>
    </xf>
    <xf numFmtId="49" fontId="35" fillId="0" borderId="0" xfId="0" applyNumberFormat="1" applyFont="1" applyAlignment="1">
      <alignment vertical="center" wrapText="1" shrinkToFit="1"/>
    </xf>
    <xf numFmtId="4" fontId="37" fillId="0" borderId="0" xfId="0" applyNumberFormat="1" applyFont="1" applyAlignment="1">
      <alignment vertical="center" shrinkToFit="1"/>
    </xf>
    <xf numFmtId="0" fontId="35" fillId="0" borderId="0" xfId="65" applyFont="1" applyAlignment="1">
      <alignment horizontal="center" vertical="center" wrapText="1" shrinkToFit="1"/>
    </xf>
    <xf numFmtId="49" fontId="35" fillId="0" borderId="0" xfId="65" applyNumberFormat="1" applyFont="1" applyAlignment="1">
      <alignment horizontal="left" vertical="justify" wrapText="1" shrinkToFit="1"/>
    </xf>
    <xf numFmtId="0" fontId="37" fillId="0" borderId="0" xfId="0" applyFont="1" applyAlignment="1">
      <alignment vertical="center" wrapText="1" shrinkToFit="1"/>
    </xf>
    <xf numFmtId="0" fontId="35" fillId="0" borderId="0" xfId="65" applyFont="1" applyAlignment="1">
      <alignment vertical="center" wrapText="1" shrinkToFit="1"/>
    </xf>
    <xf numFmtId="4" fontId="35" fillId="0" borderId="0" xfId="65" applyNumberFormat="1" applyFont="1" applyAlignment="1">
      <alignment vertical="center" shrinkToFit="1"/>
    </xf>
    <xf numFmtId="4" fontId="37" fillId="0" borderId="0" xfId="65" applyNumberFormat="1" applyFont="1" applyAlignment="1">
      <alignment vertical="center" shrinkToFit="1"/>
    </xf>
    <xf numFmtId="49" fontId="35" fillId="0" borderId="0" xfId="0" applyNumberFormat="1" applyFont="1" applyAlignment="1">
      <alignment horizontal="center" vertical="center" wrapText="1" shrinkToFit="1"/>
    </xf>
    <xf numFmtId="2" fontId="38" fillId="0" borderId="0" xfId="0" applyNumberFormat="1" applyFont="1" applyAlignment="1">
      <alignment horizontal="center" vertical="center" wrapText="1" shrinkToFit="1"/>
    </xf>
    <xf numFmtId="49" fontId="35" fillId="0" borderId="12" xfId="0" applyNumberFormat="1" applyFont="1" applyBorder="1" applyAlignment="1">
      <alignment horizontal="center" vertical="center" wrapText="1" shrinkToFit="1"/>
    </xf>
    <xf numFmtId="0" fontId="35" fillId="0" borderId="12" xfId="0" applyFont="1" applyBorder="1" applyAlignment="1">
      <alignment vertical="center" wrapText="1" shrinkToFit="1"/>
    </xf>
    <xf numFmtId="0" fontId="35" fillId="0" borderId="12" xfId="0" applyFont="1" applyBorder="1" applyAlignment="1">
      <alignment vertical="center"/>
    </xf>
    <xf numFmtId="4" fontId="35" fillId="0" borderId="12" xfId="0" applyNumberFormat="1" applyFont="1" applyBorder="1" applyAlignment="1">
      <alignment vertical="center" shrinkToFit="1"/>
    </xf>
    <xf numFmtId="4" fontId="37" fillId="0" borderId="12" xfId="0" applyNumberFormat="1" applyFont="1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 wrapText="1" shrinkToFit="1"/>
    </xf>
    <xf numFmtId="0" fontId="35" fillId="0" borderId="13" xfId="0" applyFont="1" applyBorder="1" applyAlignment="1">
      <alignment vertical="center" wrapText="1" shrinkToFit="1"/>
    </xf>
    <xf numFmtId="0" fontId="35" fillId="0" borderId="13" xfId="0" applyFont="1" applyBorder="1" applyAlignment="1">
      <alignment vertical="center"/>
    </xf>
    <xf numFmtId="0" fontId="24" fillId="0" borderId="0" xfId="67">
      <alignment/>
    </xf>
    <xf numFmtId="49" fontId="24" fillId="0" borderId="0" xfId="67" applyNumberFormat="1" applyAlignment="1" applyProtection="1">
      <alignment wrapText="1" shrinkToFit="1"/>
      <protection locked="0"/>
    </xf>
    <xf numFmtId="0" fontId="34" fillId="0" borderId="29" xfId="67" applyFont="1" applyBorder="1" applyAlignment="1">
      <alignment horizontal="center" vertical="center"/>
    </xf>
    <xf numFmtId="49" fontId="34" fillId="0" borderId="29" xfId="67" applyNumberFormat="1" applyFont="1" applyBorder="1" applyAlignment="1">
      <alignment vertical="center"/>
    </xf>
    <xf numFmtId="0" fontId="34" fillId="0" borderId="29" xfId="67" applyFont="1" applyBorder="1" applyAlignment="1">
      <alignment vertical="center"/>
    </xf>
    <xf numFmtId="0" fontId="35" fillId="0" borderId="29" xfId="67" applyFont="1" applyBorder="1" applyAlignment="1">
      <alignment vertical="center"/>
    </xf>
    <xf numFmtId="0" fontId="34" fillId="0" borderId="29" xfId="67" applyFont="1" applyBorder="1" applyAlignment="1">
      <alignment horizontal="right" vertical="center" wrapText="1" shrinkToFit="1"/>
    </xf>
    <xf numFmtId="0" fontId="34" fillId="0" borderId="0" xfId="67" applyFont="1" applyBorder="1" applyAlignment="1">
      <alignment horizontal="center" vertical="center"/>
    </xf>
    <xf numFmtId="49" fontId="34" fillId="0" borderId="0" xfId="67" applyNumberFormat="1" applyFont="1" applyBorder="1" applyAlignment="1">
      <alignment vertical="center"/>
    </xf>
    <xf numFmtId="0" fontId="34" fillId="0" borderId="0" xfId="67" applyFont="1" applyBorder="1" applyAlignment="1">
      <alignment vertical="center"/>
    </xf>
    <xf numFmtId="0" fontId="35" fillId="0" borderId="0" xfId="67" applyFont="1" applyBorder="1" applyAlignment="1">
      <alignment vertical="center"/>
    </xf>
    <xf numFmtId="0" fontId="34" fillId="0" borderId="0" xfId="67" applyFont="1" applyBorder="1" applyAlignment="1">
      <alignment horizontal="right" vertical="center" wrapText="1" shrinkToFit="1"/>
    </xf>
    <xf numFmtId="0" fontId="35" fillId="0" borderId="0" xfId="65" applyFont="1" applyBorder="1" applyAlignment="1">
      <alignment horizontal="center" vertical="center" wrapText="1" shrinkToFit="1"/>
    </xf>
    <xf numFmtId="49" fontId="35" fillId="0" borderId="0" xfId="65" applyNumberFormat="1" applyFont="1" applyBorder="1" applyAlignment="1">
      <alignment horizontal="left" vertical="justify" wrapText="1" shrinkToFit="1"/>
    </xf>
    <xf numFmtId="0" fontId="37" fillId="0" borderId="0" xfId="67" applyFont="1" applyBorder="1" applyAlignment="1">
      <alignment vertical="center" wrapText="1" shrinkToFit="1"/>
    </xf>
    <xf numFmtId="0" fontId="35" fillId="0" borderId="0" xfId="65" applyFont="1" applyBorder="1" applyAlignment="1">
      <alignment vertical="center" wrapText="1" shrinkToFit="1"/>
    </xf>
    <xf numFmtId="4" fontId="35" fillId="0" borderId="0" xfId="65" applyNumberFormat="1" applyFont="1" applyBorder="1" applyAlignment="1">
      <alignment vertical="center" shrinkToFit="1"/>
    </xf>
    <xf numFmtId="4" fontId="37" fillId="0" borderId="0" xfId="65" applyNumberFormat="1" applyFont="1" applyBorder="1" applyAlignment="1">
      <alignment vertical="center" shrinkToFit="1"/>
    </xf>
    <xf numFmtId="0" fontId="35" fillId="0" borderId="0" xfId="67" applyFont="1" applyBorder="1" applyAlignment="1">
      <alignment horizontal="center" vertical="center" wrapText="1" shrinkToFit="1"/>
    </xf>
    <xf numFmtId="49" fontId="35" fillId="0" borderId="0" xfId="68" applyNumberFormat="1" applyFont="1" applyFill="1" applyBorder="1" applyAlignment="1">
      <alignment horizontal="center" vertical="center" wrapText="1" shrinkToFit="1"/>
    </xf>
    <xf numFmtId="0" fontId="35" fillId="0" borderId="0" xfId="68" applyFont="1" applyFill="1" applyBorder="1" applyAlignment="1">
      <alignment vertical="center" wrapText="1" shrinkToFit="1"/>
    </xf>
    <xf numFmtId="4" fontId="35" fillId="0" borderId="0" xfId="67" applyNumberFormat="1" applyFont="1" applyBorder="1" applyAlignment="1">
      <alignment vertical="center" shrinkToFit="1"/>
    </xf>
    <xf numFmtId="49" fontId="35" fillId="0" borderId="0" xfId="67" applyNumberFormat="1" applyFont="1" applyBorder="1" applyAlignment="1">
      <alignment horizontal="center" vertical="center" wrapText="1" shrinkToFit="1"/>
    </xf>
    <xf numFmtId="0" fontId="35" fillId="0" borderId="0" xfId="67" applyFont="1" applyBorder="1" applyAlignment="1">
      <alignment vertical="center" wrapText="1" shrinkToFit="1"/>
    </xf>
    <xf numFmtId="2" fontId="38" fillId="0" borderId="0" xfId="67" applyNumberFormat="1" applyFont="1" applyBorder="1" applyAlignment="1">
      <alignment horizontal="center" vertical="center" wrapText="1" shrinkToFit="1"/>
    </xf>
    <xf numFmtId="0" fontId="35" fillId="0" borderId="0" xfId="67" applyFont="1" applyFill="1" applyBorder="1" applyAlignment="1">
      <alignment vertical="center"/>
    </xf>
    <xf numFmtId="0" fontId="35" fillId="0" borderId="0" xfId="67" applyNumberFormat="1" applyFont="1" applyBorder="1" applyAlignment="1">
      <alignment horizontal="center" vertical="center" wrapText="1" shrinkToFit="1"/>
    </xf>
    <xf numFmtId="49" fontId="35" fillId="0" borderId="12" xfId="67" applyNumberFormat="1" applyFont="1" applyBorder="1" applyAlignment="1">
      <alignment horizontal="center" vertical="center" wrapText="1" shrinkToFit="1"/>
    </xf>
    <xf numFmtId="0" fontId="35" fillId="0" borderId="12" xfId="67" applyFont="1" applyBorder="1" applyAlignment="1">
      <alignment vertical="center" wrapText="1" shrinkToFit="1"/>
    </xf>
    <xf numFmtId="0" fontId="35" fillId="0" borderId="12" xfId="67" applyFont="1" applyBorder="1" applyAlignment="1">
      <alignment vertical="center"/>
    </xf>
    <xf numFmtId="4" fontId="35" fillId="0" borderId="12" xfId="67" applyNumberFormat="1" applyFont="1" applyBorder="1" applyAlignment="1">
      <alignment vertical="center" shrinkToFit="1"/>
    </xf>
    <xf numFmtId="4" fontId="37" fillId="0" borderId="12" xfId="67" applyNumberFormat="1" applyFont="1" applyBorder="1" applyAlignment="1">
      <alignment vertical="center" shrinkToFit="1"/>
    </xf>
    <xf numFmtId="49" fontId="39" fillId="23" borderId="30" xfId="0" applyNumberFormat="1" applyFont="1" applyFill="1" applyBorder="1" applyAlignment="1" applyProtection="1">
      <alignment horizontal="left" vertical="center"/>
      <protection/>
    </xf>
    <xf numFmtId="49" fontId="40" fillId="23" borderId="20" xfId="0" applyNumberFormat="1" applyFont="1" applyFill="1" applyBorder="1" applyAlignment="1" applyProtection="1">
      <alignment horizontal="left" vertical="center"/>
      <protection/>
    </xf>
    <xf numFmtId="49" fontId="39" fillId="23" borderId="20" xfId="0" applyNumberFormat="1" applyFont="1" applyFill="1" applyBorder="1" applyAlignment="1" applyProtection="1">
      <alignment horizontal="left" vertical="center"/>
      <protection/>
    </xf>
    <xf numFmtId="4" fontId="40" fillId="23" borderId="20" xfId="0" applyNumberFormat="1" applyFont="1" applyFill="1" applyBorder="1" applyAlignment="1" applyProtection="1">
      <alignment horizontal="right" vertical="center"/>
      <protection/>
    </xf>
    <xf numFmtId="49" fontId="40" fillId="23" borderId="20" xfId="0" applyNumberFormat="1" applyFont="1" applyFill="1" applyBorder="1" applyAlignment="1" applyProtection="1">
      <alignment horizontal="right" vertical="center"/>
      <protection/>
    </xf>
    <xf numFmtId="49" fontId="40" fillId="23" borderId="23" xfId="0" applyNumberFormat="1" applyFont="1" applyFill="1" applyBorder="1" applyAlignment="1" applyProtection="1">
      <alignment horizontal="right" vertical="center"/>
      <protection/>
    </xf>
    <xf numFmtId="49" fontId="41" fillId="0" borderId="10" xfId="0" applyNumberFormat="1" applyFont="1" applyFill="1" applyBorder="1" applyAlignment="1" applyProtection="1">
      <alignment horizontal="left" vertical="center"/>
      <protection/>
    </xf>
    <xf numFmtId="49" fontId="41" fillId="0" borderId="0" xfId="0" applyNumberFormat="1" applyFont="1" applyFill="1" applyBorder="1" applyAlignment="1" applyProtection="1">
      <alignment horizontal="left" vertical="center"/>
      <protection/>
    </xf>
    <xf numFmtId="176" fontId="41" fillId="0" borderId="0" xfId="0" applyNumberFormat="1" applyFont="1" applyFill="1" applyBorder="1" applyAlignment="1" applyProtection="1">
      <alignment horizontal="right" vertical="center"/>
      <protection/>
    </xf>
    <xf numFmtId="4" fontId="41" fillId="0" borderId="0" xfId="0" applyNumberFormat="1" applyFont="1" applyFill="1" applyBorder="1" applyAlignment="1" applyProtection="1">
      <alignment horizontal="right" vertical="center"/>
      <protection/>
    </xf>
    <xf numFmtId="49" fontId="41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0" xfId="0" applyNumberFormat="1" applyFont="1" applyFill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176" fontId="43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14" xfId="0" applyNumberFormat="1" applyFont="1" applyFill="1" applyBorder="1" applyAlignment="1" applyProtection="1">
      <alignment vertical="center"/>
      <protection/>
    </xf>
    <xf numFmtId="49" fontId="39" fillId="23" borderId="10" xfId="0" applyNumberFormat="1" applyFont="1" applyFill="1" applyBorder="1" applyAlignment="1" applyProtection="1">
      <alignment horizontal="left" vertical="center"/>
      <protection/>
    </xf>
    <xf numFmtId="49" fontId="40" fillId="23" borderId="0" xfId="0" applyNumberFormat="1" applyFont="1" applyFill="1" applyBorder="1" applyAlignment="1" applyProtection="1">
      <alignment horizontal="left" vertical="center"/>
      <protection/>
    </xf>
    <xf numFmtId="49" fontId="39" fillId="23" borderId="0" xfId="0" applyNumberFormat="1" applyFont="1" applyFill="1" applyBorder="1" applyAlignment="1" applyProtection="1">
      <alignment horizontal="left" vertical="center"/>
      <protection/>
    </xf>
    <xf numFmtId="4" fontId="40" fillId="23" borderId="0" xfId="0" applyNumberFormat="1" applyFont="1" applyFill="1" applyBorder="1" applyAlignment="1" applyProtection="1">
      <alignment horizontal="right" vertical="center"/>
      <protection/>
    </xf>
    <xf numFmtId="49" fontId="40" fillId="23" borderId="0" xfId="0" applyNumberFormat="1" applyFont="1" applyFill="1" applyBorder="1" applyAlignment="1" applyProtection="1">
      <alignment horizontal="right" vertical="center"/>
      <protection/>
    </xf>
    <xf numFmtId="49" fontId="40" fillId="23" borderId="14" xfId="0" applyNumberFormat="1" applyFont="1" applyFill="1" applyBorder="1" applyAlignment="1" applyProtection="1">
      <alignment horizontal="right" vertical="center"/>
      <protection/>
    </xf>
    <xf numFmtId="49" fontId="45" fillId="0" borderId="0" xfId="0" applyNumberFormat="1" applyFont="1" applyFill="1" applyBorder="1" applyAlignment="1" applyProtection="1">
      <alignment horizontal="right" vertical="top"/>
      <protection/>
    </xf>
    <xf numFmtId="49" fontId="47" fillId="0" borderId="0" xfId="0" applyNumberFormat="1" applyFont="1" applyFill="1" applyBorder="1" applyAlignment="1" applyProtection="1">
      <alignment horizontal="right" vertical="top"/>
      <protection/>
    </xf>
    <xf numFmtId="49" fontId="48" fillId="0" borderId="10" xfId="0" applyNumberFormat="1" applyFont="1" applyFill="1" applyBorder="1" applyAlignment="1" applyProtection="1">
      <alignment horizontal="left" vertical="center"/>
      <protection/>
    </xf>
    <xf numFmtId="49" fontId="48" fillId="0" borderId="0" xfId="0" applyNumberFormat="1" applyFont="1" applyFill="1" applyBorder="1" applyAlignment="1" applyProtection="1">
      <alignment horizontal="left" vertical="center"/>
      <protection/>
    </xf>
    <xf numFmtId="176" fontId="48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49" fontId="48" fillId="0" borderId="14" xfId="0" applyNumberFormat="1" applyFont="1" applyFill="1" applyBorder="1" applyAlignment="1" applyProtection="1">
      <alignment horizontal="right" vertical="center"/>
      <protection/>
    </xf>
    <xf numFmtId="49" fontId="49" fillId="0" borderId="0" xfId="0" applyNumberFormat="1" applyFont="1" applyFill="1" applyBorder="1" applyAlignment="1" applyProtection="1">
      <alignment horizontal="right" vertical="top"/>
      <protection/>
    </xf>
    <xf numFmtId="0" fontId="42" fillId="0" borderId="11" xfId="0" applyNumberFormat="1" applyFont="1" applyFill="1" applyBorder="1" applyAlignment="1" applyProtection="1">
      <alignment vertical="center"/>
      <protection/>
    </xf>
    <xf numFmtId="0" fontId="42" fillId="0" borderId="13" xfId="0" applyNumberFormat="1" applyFont="1" applyFill="1" applyBorder="1" applyAlignment="1" applyProtection="1">
      <alignment vertical="center"/>
      <protection/>
    </xf>
    <xf numFmtId="49" fontId="43" fillId="0" borderId="13" xfId="0" applyNumberFormat="1" applyFont="1" applyFill="1" applyBorder="1" applyAlignment="1" applyProtection="1">
      <alignment horizontal="left" vertical="center"/>
      <protection/>
    </xf>
    <xf numFmtId="49" fontId="44" fillId="0" borderId="13" xfId="0" applyNumberFormat="1" applyFont="1" applyFill="1" applyBorder="1" applyAlignment="1" applyProtection="1">
      <alignment horizontal="left" vertical="center"/>
      <protection/>
    </xf>
    <xf numFmtId="176" fontId="43" fillId="0" borderId="13" xfId="0" applyNumberFormat="1" applyFont="1" applyFill="1" applyBorder="1" applyAlignment="1" applyProtection="1">
      <alignment horizontal="right" vertical="center"/>
      <protection/>
    </xf>
    <xf numFmtId="0" fontId="42" fillId="0" borderId="31" xfId="0" applyNumberFormat="1" applyFont="1" applyFill="1" applyBorder="1" applyAlignment="1" applyProtection="1">
      <alignment vertical="center"/>
      <protection/>
    </xf>
    <xf numFmtId="0" fontId="42" fillId="0" borderId="12" xfId="0" applyNumberFormat="1" applyFont="1" applyFill="1" applyBorder="1" applyAlignment="1" applyProtection="1">
      <alignment vertical="center"/>
      <protection/>
    </xf>
    <xf numFmtId="4" fontId="50" fillId="0" borderId="12" xfId="0" applyNumberFormat="1" applyFont="1" applyFill="1" applyBorder="1" applyAlignment="1" applyProtection="1">
      <alignment horizontal="right" vertical="center"/>
      <protection/>
    </xf>
    <xf numFmtId="49" fontId="52" fillId="0" borderId="32" xfId="0" applyNumberFormat="1" applyFont="1" applyFill="1" applyBorder="1" applyAlignment="1" applyProtection="1">
      <alignment horizontal="left" vertical="center"/>
      <protection/>
    </xf>
    <xf numFmtId="49" fontId="52" fillId="0" borderId="33" xfId="0" applyNumberFormat="1" applyFont="1" applyFill="1" applyBorder="1" applyAlignment="1" applyProtection="1">
      <alignment horizontal="left" vertical="center"/>
      <protection/>
    </xf>
    <xf numFmtId="49" fontId="52" fillId="0" borderId="33" xfId="0" applyNumberFormat="1" applyFont="1" applyFill="1" applyBorder="1" applyAlignment="1" applyProtection="1">
      <alignment horizontal="center" vertical="center"/>
      <protection/>
    </xf>
    <xf numFmtId="49" fontId="52" fillId="0" borderId="34" xfId="0" applyNumberFormat="1" applyFont="1" applyFill="1" applyBorder="1" applyAlignment="1" applyProtection="1">
      <alignment horizontal="center" vertical="center"/>
      <protection/>
    </xf>
    <xf numFmtId="49" fontId="52" fillId="0" borderId="35" xfId="0" applyNumberFormat="1" applyFont="1" applyFill="1" applyBorder="1" applyAlignment="1" applyProtection="1">
      <alignment horizontal="center" vertical="center"/>
      <protection/>
    </xf>
    <xf numFmtId="49" fontId="51" fillId="0" borderId="36" xfId="0" applyNumberFormat="1" applyFont="1" applyFill="1" applyBorder="1" applyAlignment="1" applyProtection="1">
      <alignment horizontal="left" vertical="center"/>
      <protection/>
    </xf>
    <xf numFmtId="49" fontId="51" fillId="0" borderId="37" xfId="0" applyNumberFormat="1" applyFont="1" applyFill="1" applyBorder="1" applyAlignment="1" applyProtection="1">
      <alignment horizontal="left" vertical="center"/>
      <protection/>
    </xf>
    <xf numFmtId="49" fontId="52" fillId="0" borderId="38" xfId="0" applyNumberFormat="1" applyFont="1" applyFill="1" applyBorder="1" applyAlignment="1" applyProtection="1">
      <alignment horizontal="center" vertical="center"/>
      <protection/>
    </xf>
    <xf numFmtId="49" fontId="52" fillId="0" borderId="39" xfId="0" applyNumberFormat="1" applyFont="1" applyFill="1" applyBorder="1" applyAlignment="1" applyProtection="1">
      <alignment horizontal="center" vertical="center"/>
      <protection/>
    </xf>
    <xf numFmtId="49" fontId="52" fillId="0" borderId="22" xfId="0" applyNumberFormat="1" applyFont="1" applyFill="1" applyBorder="1" applyAlignment="1" applyProtection="1">
      <alignment horizontal="center" vertical="center"/>
      <protection/>
    </xf>
    <xf numFmtId="49" fontId="52" fillId="0" borderId="40" xfId="0" applyNumberFormat="1" applyFont="1" applyFill="1" applyBorder="1" applyAlignment="1" applyProtection="1">
      <alignment horizontal="center" vertical="center"/>
      <protection/>
    </xf>
    <xf numFmtId="49" fontId="52" fillId="0" borderId="41" xfId="0" applyNumberFormat="1" applyFont="1" applyFill="1" applyBorder="1" applyAlignment="1" applyProtection="1">
      <alignment horizontal="center" vertical="center"/>
      <protection/>
    </xf>
    <xf numFmtId="4" fontId="1" fillId="25" borderId="16" xfId="0" applyNumberFormat="1" applyFont="1" applyFill="1" applyBorder="1" applyAlignment="1" applyProtection="1">
      <alignment horizontal="right" vertical="center"/>
      <protection/>
    </xf>
    <xf numFmtId="4" fontId="48" fillId="25" borderId="0" xfId="0" applyNumberFormat="1" applyFont="1" applyFill="1" applyBorder="1" applyAlignment="1" applyProtection="1">
      <alignment horizontal="right" vertical="center"/>
      <protection/>
    </xf>
    <xf numFmtId="0" fontId="42" fillId="25" borderId="0" xfId="0" applyFont="1" applyFill="1" applyAlignment="1">
      <alignment vertical="center"/>
    </xf>
    <xf numFmtId="4" fontId="41" fillId="25" borderId="0" xfId="0" applyNumberFormat="1" applyFont="1" applyFill="1" applyBorder="1" applyAlignment="1" applyProtection="1">
      <alignment horizontal="right" vertical="center"/>
      <protection/>
    </xf>
    <xf numFmtId="0" fontId="42" fillId="25" borderId="13" xfId="0" applyNumberFormat="1" applyFont="1" applyFill="1" applyBorder="1" applyAlignment="1" applyProtection="1">
      <alignment vertical="center"/>
      <protection/>
    </xf>
    <xf numFmtId="4" fontId="35" fillId="25" borderId="0" xfId="0" applyNumberFormat="1" applyFont="1" applyFill="1" applyAlignment="1">
      <alignment vertical="center" shrinkToFit="1"/>
    </xf>
    <xf numFmtId="2" fontId="35" fillId="25" borderId="0" xfId="0" applyNumberFormat="1" applyFont="1" applyFill="1" applyAlignment="1">
      <alignment vertical="center"/>
    </xf>
    <xf numFmtId="4" fontId="35" fillId="25" borderId="13" xfId="0" applyNumberFormat="1" applyFont="1" applyFill="1" applyBorder="1" applyAlignment="1">
      <alignment vertical="center" shrinkToFit="1"/>
    </xf>
    <xf numFmtId="4" fontId="35" fillId="25" borderId="0" xfId="68" applyNumberFormat="1" applyFont="1" applyFill="1" applyBorder="1" applyAlignment="1">
      <alignment vertical="center" shrinkToFit="1"/>
    </xf>
    <xf numFmtId="4" fontId="35" fillId="25" borderId="0" xfId="67" applyNumberFormat="1" applyFont="1" applyFill="1" applyBorder="1" applyAlignment="1">
      <alignment vertical="center" shrinkToFit="1"/>
    </xf>
    <xf numFmtId="0" fontId="1" fillId="0" borderId="0" xfId="0" applyFont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10" fillId="24" borderId="47" xfId="0" applyNumberFormat="1" applyFont="1" applyFill="1" applyBorder="1" applyAlignment="1" applyProtection="1">
      <alignment horizontal="left" vertical="center"/>
      <protection/>
    </xf>
    <xf numFmtId="0" fontId="10" fillId="24" borderId="48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56" xfId="0" applyNumberFormat="1" applyFont="1" applyFill="1" applyBorder="1" applyAlignment="1" applyProtection="1">
      <alignment horizontal="left" vertical="center"/>
      <protection/>
    </xf>
    <xf numFmtId="49" fontId="10" fillId="0" borderId="55" xfId="0" applyNumberFormat="1" applyFont="1" applyFill="1" applyBorder="1" applyAlignment="1" applyProtection="1">
      <alignment horizontal="left" vertical="center"/>
      <protection/>
    </xf>
    <xf numFmtId="0" fontId="10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56" xfId="0" applyNumberFormat="1" applyFont="1" applyFill="1" applyBorder="1" applyAlignment="1" applyProtection="1">
      <alignment horizontal="left" vertical="center"/>
      <protection/>
    </xf>
    <xf numFmtId="4" fontId="10" fillId="0" borderId="55" xfId="0" applyNumberFormat="1" applyFont="1" applyFill="1" applyBorder="1" applyAlignment="1" applyProtection="1">
      <alignment horizontal="right" vertical="center"/>
      <protection/>
    </xf>
    <xf numFmtId="0" fontId="10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56" xfId="0" applyNumberFormat="1" applyFont="1" applyFill="1" applyBorder="1" applyAlignment="1" applyProtection="1">
      <alignment horizontal="right" vertical="center"/>
      <protection/>
    </xf>
    <xf numFmtId="49" fontId="41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49" fontId="40" fillId="23" borderId="0" xfId="0" applyNumberFormat="1" applyFont="1" applyFill="1" applyBorder="1" applyAlignment="1" applyProtection="1">
      <alignment horizontal="left" vertical="center"/>
      <protection/>
    </xf>
    <xf numFmtId="0" fontId="40" fillId="23" borderId="0" xfId="0" applyNumberFormat="1" applyFont="1" applyFill="1" applyBorder="1" applyAlignment="1" applyProtection="1">
      <alignment horizontal="left" vertical="center"/>
      <protection/>
    </xf>
    <xf numFmtId="49" fontId="50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49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top" wrapText="1"/>
      <protection/>
    </xf>
    <xf numFmtId="0" fontId="49" fillId="0" borderId="0" xfId="0" applyNumberFormat="1" applyFont="1" applyFill="1" applyBorder="1" applyAlignment="1" applyProtection="1">
      <alignment horizontal="left" vertical="top"/>
      <protection/>
    </xf>
    <xf numFmtId="0" fontId="49" fillId="0" borderId="14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NumberFormat="1" applyFont="1" applyFill="1" applyBorder="1" applyAlignment="1" applyProtection="1">
      <alignment horizontal="left" vertical="top"/>
      <protection/>
    </xf>
    <xf numFmtId="0" fontId="47" fillId="0" borderId="14" xfId="0" applyNumberFormat="1" applyFont="1" applyFill="1" applyBorder="1" applyAlignment="1" applyProtection="1">
      <alignment horizontal="left" vertical="top"/>
      <protection/>
    </xf>
    <xf numFmtId="49" fontId="52" fillId="0" borderId="57" xfId="0" applyNumberFormat="1" applyFont="1" applyFill="1" applyBorder="1" applyAlignment="1" applyProtection="1">
      <alignment horizontal="left" vertical="center"/>
      <protection/>
    </xf>
    <xf numFmtId="0" fontId="52" fillId="0" borderId="58" xfId="0" applyNumberFormat="1" applyFont="1" applyFill="1" applyBorder="1" applyAlignment="1" applyProtection="1">
      <alignment horizontal="left" vertical="center"/>
      <protection/>
    </xf>
    <xf numFmtId="49" fontId="40" fillId="23" borderId="20" xfId="0" applyNumberFormat="1" applyFont="1" applyFill="1" applyBorder="1" applyAlignment="1" applyProtection="1">
      <alignment horizontal="left" vertical="center"/>
      <protection/>
    </xf>
    <xf numFmtId="0" fontId="40" fillId="23" borderId="20" xfId="0" applyNumberFormat="1" applyFont="1" applyFill="1" applyBorder="1" applyAlignment="1" applyProtection="1">
      <alignment horizontal="left" vertical="center"/>
      <protection/>
    </xf>
    <xf numFmtId="49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26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58" xfId="0" applyNumberFormat="1" applyFont="1" applyFill="1" applyBorder="1" applyAlignment="1" applyProtection="1">
      <alignment horizontal="left" vertical="center"/>
      <protection/>
    </xf>
    <xf numFmtId="49" fontId="52" fillId="0" borderId="30" xfId="0" applyNumberFormat="1" applyFont="1" applyFill="1" applyBorder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/>
      <protection/>
    </xf>
    <xf numFmtId="49" fontId="52" fillId="0" borderId="50" xfId="0" applyNumberFormat="1" applyFont="1" applyFill="1" applyBorder="1" applyAlignment="1" applyProtection="1">
      <alignment horizontal="center" vertical="center"/>
      <protection/>
    </xf>
    <xf numFmtId="0" fontId="52" fillId="0" borderId="51" xfId="0" applyNumberFormat="1" applyFont="1" applyFill="1" applyBorder="1" applyAlignment="1" applyProtection="1">
      <alignment horizontal="center" vertical="center"/>
      <protection/>
    </xf>
    <xf numFmtId="0" fontId="52" fillId="0" borderId="52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57" xfId="0" applyNumberFormat="1" applyFont="1" applyFill="1" applyBorder="1" applyAlignment="1" applyProtection="1">
      <alignment horizontal="left" vertical="center"/>
      <protection/>
    </xf>
    <xf numFmtId="49" fontId="53" fillId="0" borderId="13" xfId="0" applyNumberFormat="1" applyFont="1" applyFill="1" applyBorder="1" applyAlignment="1" applyProtection="1">
      <alignment horizontal="center"/>
      <protection/>
    </xf>
    <xf numFmtId="0" fontId="53" fillId="0" borderId="13" xfId="0" applyNumberFormat="1" applyFont="1" applyFill="1" applyBorder="1" applyAlignment="1" applyProtection="1">
      <alignment horizontal="center" vertical="center"/>
      <protection/>
    </xf>
    <xf numFmtId="0" fontId="51" fillId="0" borderId="49" xfId="0" applyNumberFormat="1" applyFont="1" applyFill="1" applyBorder="1" applyAlignment="1" applyProtection="1">
      <alignment horizontal="left" vertical="center" wrapText="1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2" fillId="0" borderId="12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49" fontId="51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 wrapText="1"/>
      <protection/>
    </xf>
    <xf numFmtId="0" fontId="51" fillId="0" borderId="21" xfId="0" applyNumberFormat="1" applyFont="1" applyFill="1" applyBorder="1" applyAlignment="1" applyProtection="1">
      <alignment horizontal="left" vertical="center"/>
      <protection/>
    </xf>
    <xf numFmtId="49" fontId="32" fillId="0" borderId="0" xfId="0" applyNumberFormat="1" applyFont="1" applyAlignment="1">
      <alignment horizontal="left" vertical="center" wrapText="1" shrinkToFit="1"/>
    </xf>
    <xf numFmtId="0" fontId="0" fillId="0" borderId="0" xfId="0" applyAlignment="1">
      <alignment/>
    </xf>
    <xf numFmtId="49" fontId="33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shrinkToFit="1"/>
    </xf>
    <xf numFmtId="0" fontId="24" fillId="0" borderId="0" xfId="0" applyFont="1" applyAlignment="1">
      <alignment horizontal="center"/>
    </xf>
    <xf numFmtId="0" fontId="24" fillId="0" borderId="0" xfId="67" applyFont="1" applyAlignment="1">
      <alignment horizontal="center" shrinkToFit="1"/>
    </xf>
    <xf numFmtId="0" fontId="24" fillId="0" borderId="0" xfId="67" applyFont="1" applyAlignment="1">
      <alignment horizontal="center"/>
    </xf>
    <xf numFmtId="49" fontId="33" fillId="0" borderId="0" xfId="67" applyNumberFormat="1" applyFont="1" applyAlignment="1">
      <alignment horizontal="left" vertical="center" wrapText="1"/>
    </xf>
    <xf numFmtId="49" fontId="32" fillId="0" borderId="0" xfId="67" applyNumberFormat="1" applyFont="1" applyAlignment="1">
      <alignment horizontal="left" vertical="center" wrapText="1" shrinkToFit="1"/>
    </xf>
    <xf numFmtId="0" fontId="24" fillId="0" borderId="0" xfId="67" applyAlignment="1">
      <alignment/>
    </xf>
  </cellXfs>
  <cellStyles count="7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 [0]" xfId="53"/>
    <cellStyle name="Hyperlink" xfId="54"/>
    <cellStyle name="Chybně" xfId="55"/>
    <cellStyle name="Kontrolní buňka" xfId="56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Normální 6" xfId="66"/>
    <cellStyle name="normální_elektro" xfId="67"/>
    <cellStyle name="normální_ELEKTROINSTALACE" xfId="68"/>
    <cellStyle name="Followed Hyperlink" xfId="69"/>
    <cellStyle name="Poznámka" xfId="70"/>
    <cellStyle name="Percent" xfId="71"/>
    <cellStyle name="Propojená buňka" xfId="72"/>
    <cellStyle name="Správně" xfId="73"/>
    <cellStyle name="Styl 1" xfId="74"/>
    <cellStyle name="Špatně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00000"/>
      <rgbColor rgb="00FF00FF"/>
      <rgbColor rgb="00000000"/>
      <rgbColor rgb="00DBDBDB"/>
      <rgbColor rgb="00000000"/>
      <rgbColor rgb="00FF8040"/>
      <rgbColor rgb="00000000"/>
      <rgbColor rgb="00C0C0C0"/>
      <rgbColor rgb="00000000"/>
      <rgbColor rgb="000000FF"/>
      <rgbColor rgb="0000FF00"/>
      <rgbColor rgb="00000000"/>
      <rgbColor rgb="000000FF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819150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42.75" customHeight="1">
      <c r="A1" s="40"/>
      <c r="B1" s="5"/>
      <c r="C1" s="213" t="s">
        <v>652</v>
      </c>
      <c r="D1" s="214"/>
      <c r="E1" s="214"/>
      <c r="F1" s="214"/>
      <c r="G1" s="214"/>
      <c r="H1" s="214"/>
      <c r="I1" s="214"/>
    </row>
    <row r="2" spans="1:10" ht="12.75">
      <c r="A2" s="215" t="s">
        <v>1</v>
      </c>
      <c r="B2" s="216"/>
      <c r="C2" s="217" t="str">
        <f>'Stavební rozpočet'!C2</f>
        <v>Střecha BD náměstí Svobody 728/1</v>
      </c>
      <c r="D2" s="218"/>
      <c r="E2" s="220" t="s">
        <v>574</v>
      </c>
      <c r="F2" s="220" t="str">
        <f>'Stavební rozpočet'!H2</f>
        <v>SNEO, a.s. s.r.o., Nad Alejí 1876/2 , Praha 6</v>
      </c>
      <c r="G2" s="216"/>
      <c r="H2" s="220" t="s">
        <v>675</v>
      </c>
      <c r="I2" s="221" t="s">
        <v>679</v>
      </c>
      <c r="J2" s="1"/>
    </row>
    <row r="3" spans="1:10" ht="12.75">
      <c r="A3" s="201"/>
      <c r="B3" s="187"/>
      <c r="C3" s="219"/>
      <c r="D3" s="219"/>
      <c r="E3" s="187"/>
      <c r="F3" s="187"/>
      <c r="G3" s="187"/>
      <c r="H3" s="187"/>
      <c r="I3" s="212"/>
      <c r="J3" s="1"/>
    </row>
    <row r="4" spans="1:10" ht="12.75">
      <c r="A4" s="200" t="s">
        <v>2</v>
      </c>
      <c r="B4" s="187"/>
      <c r="C4" s="186" t="str">
        <f>'Stavební rozpočet'!C4</f>
        <v>rekonstrukce</v>
      </c>
      <c r="D4" s="187"/>
      <c r="E4" s="186" t="s">
        <v>575</v>
      </c>
      <c r="F4" s="186" t="str">
        <f>'Stavební rozpočet'!H4</f>
        <v>VMSprojekt s.r.o.</v>
      </c>
      <c r="G4" s="187"/>
      <c r="H4" s="186" t="s">
        <v>675</v>
      </c>
      <c r="I4" s="211" t="s">
        <v>680</v>
      </c>
      <c r="J4" s="1"/>
    </row>
    <row r="5" spans="1:10" ht="12.75">
      <c r="A5" s="201"/>
      <c r="B5" s="187"/>
      <c r="C5" s="187"/>
      <c r="D5" s="187"/>
      <c r="E5" s="187"/>
      <c r="F5" s="187"/>
      <c r="G5" s="187"/>
      <c r="H5" s="187"/>
      <c r="I5" s="212"/>
      <c r="J5" s="1"/>
    </row>
    <row r="6" spans="1:10" ht="12.75">
      <c r="A6" s="200" t="s">
        <v>3</v>
      </c>
      <c r="B6" s="187"/>
      <c r="C6" s="186" t="str">
        <f>'Stavební rozpočet'!C6</f>
        <v>Bubeneč, Praha</v>
      </c>
      <c r="D6" s="187"/>
      <c r="E6" s="186" t="s">
        <v>576</v>
      </c>
      <c r="F6" s="186" t="str">
        <f>'Stavební rozpočet'!H6</f>
        <v>Dle výběru investora</v>
      </c>
      <c r="G6" s="187"/>
      <c r="H6" s="186" t="s">
        <v>675</v>
      </c>
      <c r="I6" s="211"/>
      <c r="J6" s="1"/>
    </row>
    <row r="7" spans="1:10" ht="12.75">
      <c r="A7" s="201"/>
      <c r="B7" s="187"/>
      <c r="C7" s="187"/>
      <c r="D7" s="187"/>
      <c r="E7" s="187"/>
      <c r="F7" s="187"/>
      <c r="G7" s="187"/>
      <c r="H7" s="187"/>
      <c r="I7" s="212"/>
      <c r="J7" s="1"/>
    </row>
    <row r="8" spans="1:10" ht="12.75">
      <c r="A8" s="200" t="s">
        <v>531</v>
      </c>
      <c r="B8" s="187"/>
      <c r="C8" s="186" t="str">
        <f>'Stavební rozpočet'!E4</f>
        <v> </v>
      </c>
      <c r="D8" s="187"/>
      <c r="E8" s="186" t="s">
        <v>532</v>
      </c>
      <c r="F8" s="186" t="str">
        <f>'Stavební rozpočet'!E6</f>
        <v> </v>
      </c>
      <c r="G8" s="187"/>
      <c r="H8" s="208" t="s">
        <v>676</v>
      </c>
      <c r="I8" s="211" t="s">
        <v>131</v>
      </c>
      <c r="J8" s="1"/>
    </row>
    <row r="9" spans="1:10" ht="12.75">
      <c r="A9" s="201"/>
      <c r="B9" s="187"/>
      <c r="C9" s="187"/>
      <c r="D9" s="187"/>
      <c r="E9" s="187"/>
      <c r="F9" s="187"/>
      <c r="G9" s="187"/>
      <c r="H9" s="187"/>
      <c r="I9" s="212"/>
      <c r="J9" s="1"/>
    </row>
    <row r="10" spans="1:10" ht="12.75">
      <c r="A10" s="200" t="s">
        <v>4</v>
      </c>
      <c r="B10" s="187"/>
      <c r="C10" s="186">
        <f>'Stavební rozpočet'!C8</f>
        <v>8035212</v>
      </c>
      <c r="D10" s="187"/>
      <c r="E10" s="186" t="s">
        <v>577</v>
      </c>
      <c r="F10" s="186" t="str">
        <f>'Stavební rozpočet'!H8</f>
        <v>František Polan</v>
      </c>
      <c r="G10" s="187"/>
      <c r="H10" s="208" t="s">
        <v>677</v>
      </c>
      <c r="I10" s="209" t="str">
        <f>'Stavební rozpočet'!E8</f>
        <v>18.02.2021</v>
      </c>
      <c r="J10" s="1"/>
    </row>
    <row r="11" spans="1:10" ht="12.75">
      <c r="A11" s="206"/>
      <c r="B11" s="207"/>
      <c r="C11" s="207"/>
      <c r="D11" s="207"/>
      <c r="E11" s="207"/>
      <c r="F11" s="207"/>
      <c r="G11" s="207"/>
      <c r="H11" s="207"/>
      <c r="I11" s="210"/>
      <c r="J11" s="1"/>
    </row>
    <row r="12" spans="1:9" ht="23.25" customHeight="1">
      <c r="A12" s="202" t="s">
        <v>637</v>
      </c>
      <c r="B12" s="203"/>
      <c r="C12" s="203"/>
      <c r="D12" s="203"/>
      <c r="E12" s="203"/>
      <c r="F12" s="203"/>
      <c r="G12" s="203"/>
      <c r="H12" s="203"/>
      <c r="I12" s="203"/>
    </row>
    <row r="13" spans="1:10" ht="26.25" customHeight="1">
      <c r="A13" s="17" t="s">
        <v>638</v>
      </c>
      <c r="B13" s="204" t="s">
        <v>650</v>
      </c>
      <c r="C13" s="205"/>
      <c r="D13" s="17" t="s">
        <v>653</v>
      </c>
      <c r="E13" s="204" t="s">
        <v>660</v>
      </c>
      <c r="F13" s="205"/>
      <c r="G13" s="17" t="s">
        <v>661</v>
      </c>
      <c r="H13" s="204" t="s">
        <v>678</v>
      </c>
      <c r="I13" s="205"/>
      <c r="J13" s="1"/>
    </row>
    <row r="14" spans="1:10" ht="15" customHeight="1">
      <c r="A14" s="18" t="s">
        <v>639</v>
      </c>
      <c r="B14" s="22" t="s">
        <v>651</v>
      </c>
      <c r="C14" s="25">
        <f>SUM('Stavební rozpočet'!AB12:AB334)</f>
        <v>0</v>
      </c>
      <c r="D14" s="198" t="s">
        <v>654</v>
      </c>
      <c r="E14" s="199"/>
      <c r="F14" s="25">
        <f>VORN!I15</f>
        <v>0</v>
      </c>
      <c r="G14" s="198" t="s">
        <v>662</v>
      </c>
      <c r="H14" s="199"/>
      <c r="I14" s="25">
        <f>VORN!I21</f>
        <v>0</v>
      </c>
      <c r="J14" s="1"/>
    </row>
    <row r="15" spans="1:10" ht="15" customHeight="1">
      <c r="A15" s="19"/>
      <c r="B15" s="22" t="s">
        <v>587</v>
      </c>
      <c r="C15" s="25">
        <f>SUM('Stavební rozpočet'!AC12:AC334)</f>
        <v>0</v>
      </c>
      <c r="D15" s="198"/>
      <c r="E15" s="199"/>
      <c r="F15" s="25">
        <f>VORN!I16</f>
        <v>0</v>
      </c>
      <c r="G15" s="198" t="s">
        <v>663</v>
      </c>
      <c r="H15" s="199"/>
      <c r="I15" s="25">
        <f>VORN!I22</f>
        <v>0</v>
      </c>
      <c r="J15" s="1"/>
    </row>
    <row r="16" spans="1:10" ht="15" customHeight="1">
      <c r="A16" s="18" t="s">
        <v>640</v>
      </c>
      <c r="B16" s="22" t="s">
        <v>651</v>
      </c>
      <c r="C16" s="25">
        <f>SUM('Stavební rozpočet'!AD12:AD334)</f>
        <v>0</v>
      </c>
      <c r="D16" s="198"/>
      <c r="E16" s="199"/>
      <c r="F16" s="25">
        <f>VORN!I17</f>
        <v>0</v>
      </c>
      <c r="G16" s="198" t="s">
        <v>664</v>
      </c>
      <c r="H16" s="199"/>
      <c r="I16" s="25">
        <f>VORN!I23</f>
        <v>0</v>
      </c>
      <c r="J16" s="1"/>
    </row>
    <row r="17" spans="1:10" ht="15" customHeight="1">
      <c r="A17" s="19"/>
      <c r="B17" s="22" t="s">
        <v>587</v>
      </c>
      <c r="C17" s="25">
        <f>SUM('Stavební rozpočet'!AE12:AE334)</f>
        <v>0</v>
      </c>
      <c r="D17" s="198"/>
      <c r="E17" s="199"/>
      <c r="F17" s="26"/>
      <c r="G17" s="198" t="s">
        <v>665</v>
      </c>
      <c r="H17" s="199"/>
      <c r="I17" s="25">
        <f>VORN!I24</f>
        <v>0</v>
      </c>
      <c r="J17" s="1"/>
    </row>
    <row r="18" spans="1:10" ht="15" customHeight="1">
      <c r="A18" s="18" t="s">
        <v>641</v>
      </c>
      <c r="B18" s="22" t="s">
        <v>651</v>
      </c>
      <c r="C18" s="25">
        <f>SUM('Stavební rozpočet'!AF12:AF334)</f>
        <v>0</v>
      </c>
      <c r="D18" s="198"/>
      <c r="E18" s="199"/>
      <c r="F18" s="26"/>
      <c r="G18" s="198" t="s">
        <v>666</v>
      </c>
      <c r="H18" s="199"/>
      <c r="I18" s="25">
        <f>VORN!I25</f>
        <v>0</v>
      </c>
      <c r="J18" s="1"/>
    </row>
    <row r="19" spans="1:10" ht="15" customHeight="1">
      <c r="A19" s="19"/>
      <c r="B19" s="22" t="s">
        <v>587</v>
      </c>
      <c r="C19" s="25">
        <f>SUM('Stavební rozpočet'!AG12:AG334)</f>
        <v>0</v>
      </c>
      <c r="D19" s="198"/>
      <c r="E19" s="199"/>
      <c r="F19" s="26"/>
      <c r="G19" s="198" t="s">
        <v>667</v>
      </c>
      <c r="H19" s="199"/>
      <c r="I19" s="25">
        <f>VORN!I26</f>
        <v>0</v>
      </c>
      <c r="J19" s="1"/>
    </row>
    <row r="20" spans="1:10" ht="15" customHeight="1">
      <c r="A20" s="194" t="s">
        <v>642</v>
      </c>
      <c r="B20" s="195"/>
      <c r="C20" s="25">
        <f>SUM('Stavební rozpočet'!AH12:AH334)</f>
        <v>0</v>
      </c>
      <c r="D20" s="198"/>
      <c r="E20" s="199"/>
      <c r="F20" s="26"/>
      <c r="G20" s="198"/>
      <c r="H20" s="199"/>
      <c r="I20" s="26"/>
      <c r="J20" s="1"/>
    </row>
    <row r="21" spans="1:10" ht="15" customHeight="1">
      <c r="A21" s="194" t="s">
        <v>643</v>
      </c>
      <c r="B21" s="195"/>
      <c r="C21" s="25">
        <f>SUM('Stavební rozpočet'!Z12:Z334)</f>
        <v>0</v>
      </c>
      <c r="D21" s="198"/>
      <c r="E21" s="199"/>
      <c r="F21" s="26"/>
      <c r="G21" s="198"/>
      <c r="H21" s="199"/>
      <c r="I21" s="26"/>
      <c r="J21" s="1"/>
    </row>
    <row r="22" spans="1:10" ht="16.5" customHeight="1">
      <c r="A22" s="194" t="s">
        <v>644</v>
      </c>
      <c r="B22" s="195"/>
      <c r="C22" s="25">
        <f>SUM(C14:C21)</f>
        <v>0</v>
      </c>
      <c r="D22" s="194" t="s">
        <v>655</v>
      </c>
      <c r="E22" s="195"/>
      <c r="F22" s="25">
        <f>SUM(F14:F21)</f>
        <v>0</v>
      </c>
      <c r="G22" s="194" t="s">
        <v>668</v>
      </c>
      <c r="H22" s="195"/>
      <c r="I22" s="25">
        <f>SUM(I14:I21)</f>
        <v>0</v>
      </c>
      <c r="J22" s="1"/>
    </row>
    <row r="23" spans="1:10" ht="15" customHeight="1">
      <c r="A23" s="3"/>
      <c r="B23" s="3"/>
      <c r="C23" s="24"/>
      <c r="D23" s="194" t="s">
        <v>656</v>
      </c>
      <c r="E23" s="195"/>
      <c r="F23" s="27">
        <v>0</v>
      </c>
      <c r="G23" s="194" t="s">
        <v>669</v>
      </c>
      <c r="H23" s="195"/>
      <c r="I23" s="25">
        <v>0</v>
      </c>
      <c r="J23" s="1"/>
    </row>
    <row r="24" spans="4:10" ht="15" customHeight="1">
      <c r="D24" s="3"/>
      <c r="E24" s="3"/>
      <c r="F24" s="28"/>
      <c r="G24" s="194" t="s">
        <v>670</v>
      </c>
      <c r="H24" s="195"/>
      <c r="I24" s="25">
        <f>vorn_sum</f>
        <v>0</v>
      </c>
      <c r="J24" s="1"/>
    </row>
    <row r="25" spans="6:10" ht="15" customHeight="1">
      <c r="F25" s="9"/>
      <c r="G25" s="194" t="s">
        <v>671</v>
      </c>
      <c r="H25" s="195"/>
      <c r="I25" s="25">
        <v>0</v>
      </c>
      <c r="J25" s="1"/>
    </row>
    <row r="26" spans="1:9" ht="12.75">
      <c r="A26" s="5"/>
      <c r="B26" s="5"/>
      <c r="C26" s="5"/>
      <c r="G26" s="3"/>
      <c r="H26" s="3"/>
      <c r="I26" s="3"/>
    </row>
    <row r="27" spans="1:9" ht="15" customHeight="1">
      <c r="A27" s="196" t="s">
        <v>645</v>
      </c>
      <c r="B27" s="197"/>
      <c r="C27" s="29">
        <f>SUM('Stavební rozpočet'!AJ12:AJ334)</f>
        <v>0</v>
      </c>
      <c r="D27" s="2"/>
      <c r="E27" s="5"/>
      <c r="F27" s="5"/>
      <c r="G27" s="5"/>
      <c r="H27" s="5"/>
      <c r="I27" s="5"/>
    </row>
    <row r="28" spans="1:10" ht="15" customHeight="1">
      <c r="A28" s="196" t="s">
        <v>646</v>
      </c>
      <c r="B28" s="197"/>
      <c r="C28" s="29">
        <f>SUM('Stavební rozpočet'!AK12:AK334)</f>
        <v>0</v>
      </c>
      <c r="D28" s="196" t="s">
        <v>657</v>
      </c>
      <c r="E28" s="197"/>
      <c r="F28" s="29">
        <f>ROUND(C28*(15/100),2)</f>
        <v>0</v>
      </c>
      <c r="G28" s="196" t="s">
        <v>672</v>
      </c>
      <c r="H28" s="197"/>
      <c r="I28" s="29">
        <f>SUM(C27:C29)</f>
        <v>0</v>
      </c>
      <c r="J28" s="1"/>
    </row>
    <row r="29" spans="1:10" ht="15" customHeight="1">
      <c r="A29" s="196" t="s">
        <v>647</v>
      </c>
      <c r="B29" s="197"/>
      <c r="C29" s="29">
        <f>SUM('Stavební rozpočet'!AL12:AL334)+(F22+I22+F23+I23+I24+I25)</f>
        <v>0</v>
      </c>
      <c r="D29" s="196" t="s">
        <v>658</v>
      </c>
      <c r="E29" s="197"/>
      <c r="F29" s="29">
        <f>ROUND(C29*(21/100),2)</f>
        <v>0</v>
      </c>
      <c r="G29" s="196" t="s">
        <v>673</v>
      </c>
      <c r="H29" s="197"/>
      <c r="I29" s="29">
        <f>ROUND(SUM(F28:F29)+I28,0)</f>
        <v>0</v>
      </c>
      <c r="J29" s="1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10" ht="14.25" customHeight="1">
      <c r="A31" s="191" t="s">
        <v>648</v>
      </c>
      <c r="B31" s="192"/>
      <c r="C31" s="193"/>
      <c r="D31" s="191" t="s">
        <v>659</v>
      </c>
      <c r="E31" s="192"/>
      <c r="F31" s="193"/>
      <c r="G31" s="191" t="s">
        <v>674</v>
      </c>
      <c r="H31" s="192"/>
      <c r="I31" s="193"/>
      <c r="J31" s="10"/>
    </row>
    <row r="32" spans="1:10" ht="14.25" customHeight="1">
      <c r="A32" s="183"/>
      <c r="B32" s="184"/>
      <c r="C32" s="185"/>
      <c r="D32" s="183"/>
      <c r="E32" s="184"/>
      <c r="F32" s="185"/>
      <c r="G32" s="183"/>
      <c r="H32" s="184"/>
      <c r="I32" s="185"/>
      <c r="J32" s="10"/>
    </row>
    <row r="33" spans="1:10" ht="14.25" customHeight="1">
      <c r="A33" s="183"/>
      <c r="B33" s="184"/>
      <c r="C33" s="185"/>
      <c r="D33" s="183"/>
      <c r="E33" s="184"/>
      <c r="F33" s="185"/>
      <c r="G33" s="183"/>
      <c r="H33" s="184"/>
      <c r="I33" s="185"/>
      <c r="J33" s="10"/>
    </row>
    <row r="34" spans="1:10" ht="14.25" customHeight="1">
      <c r="A34" s="183"/>
      <c r="B34" s="184"/>
      <c r="C34" s="185"/>
      <c r="D34" s="183"/>
      <c r="E34" s="184"/>
      <c r="F34" s="185"/>
      <c r="G34" s="183"/>
      <c r="H34" s="184"/>
      <c r="I34" s="185"/>
      <c r="J34" s="10"/>
    </row>
    <row r="35" spans="1:10" ht="14.25" customHeight="1">
      <c r="A35" s="188" t="s">
        <v>649</v>
      </c>
      <c r="B35" s="189"/>
      <c r="C35" s="190"/>
      <c r="D35" s="188" t="s">
        <v>649</v>
      </c>
      <c r="E35" s="189"/>
      <c r="F35" s="190"/>
      <c r="G35" s="188" t="s">
        <v>649</v>
      </c>
      <c r="H35" s="189"/>
      <c r="I35" s="190"/>
      <c r="J35" s="10"/>
    </row>
    <row r="36" spans="1:9" ht="11.25" customHeight="1">
      <c r="A36" s="21" t="s">
        <v>132</v>
      </c>
      <c r="B36" s="23"/>
      <c r="C36" s="23"/>
      <c r="D36" s="23"/>
      <c r="E36" s="23"/>
      <c r="F36" s="23"/>
      <c r="G36" s="23"/>
      <c r="H36" s="23"/>
      <c r="I36" s="23"/>
    </row>
    <row r="37" spans="1:9" ht="76.5" customHeight="1">
      <c r="A37" s="186" t="s">
        <v>133</v>
      </c>
      <c r="B37" s="187"/>
      <c r="C37" s="187"/>
      <c r="D37" s="187"/>
      <c r="E37" s="187"/>
      <c r="F37" s="187"/>
      <c r="G37" s="187"/>
      <c r="H37" s="187"/>
      <c r="I37" s="187"/>
    </row>
  </sheetData>
  <sheetProtection password="C4E8" sheet="1" objects="1" scenario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A6:B7"/>
    <mergeCell ref="C6:D7"/>
    <mergeCell ref="E6:E7"/>
    <mergeCell ref="F6:G7"/>
    <mergeCell ref="H10:H11"/>
    <mergeCell ref="I10:I11"/>
    <mergeCell ref="E8:E9"/>
    <mergeCell ref="F8:G9"/>
    <mergeCell ref="H4:H5"/>
    <mergeCell ref="I4:I5"/>
    <mergeCell ref="H6:H7"/>
    <mergeCell ref="I6:I7"/>
    <mergeCell ref="H8:H9"/>
    <mergeCell ref="I8:I9"/>
    <mergeCell ref="A8:B9"/>
    <mergeCell ref="C8:D9"/>
    <mergeCell ref="A12:I12"/>
    <mergeCell ref="B13:C13"/>
    <mergeCell ref="E13:F13"/>
    <mergeCell ref="H13:I13"/>
    <mergeCell ref="A10:B11"/>
    <mergeCell ref="C10:D11"/>
    <mergeCell ref="E10:E11"/>
    <mergeCell ref="F10:G11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H33" sqref="H33"/>
    </sheetView>
  </sheetViews>
  <sheetFormatPr defaultColWidth="11.57421875" defaultRowHeight="12.75"/>
  <cols>
    <col min="1" max="1" width="9.140625" style="181" customWidth="1"/>
    <col min="2" max="2" width="12.8515625" style="181" customWidth="1"/>
    <col min="3" max="3" width="22.8515625" style="181" customWidth="1"/>
    <col min="4" max="4" width="10.00390625" style="181" customWidth="1"/>
    <col min="5" max="5" width="14.00390625" style="181" customWidth="1"/>
    <col min="6" max="6" width="22.8515625" style="181" customWidth="1"/>
    <col min="7" max="7" width="9.140625" style="181" customWidth="1"/>
    <col min="8" max="8" width="17.140625" style="181" customWidth="1"/>
    <col min="9" max="9" width="22.8515625" style="181" customWidth="1"/>
    <col min="10" max="16384" width="11.57421875" style="181" customWidth="1"/>
  </cols>
  <sheetData>
    <row r="1" spans="1:9" ht="39.75" customHeight="1">
      <c r="A1" s="40"/>
      <c r="B1" s="5"/>
      <c r="C1" s="213" t="s">
        <v>693</v>
      </c>
      <c r="D1" s="214"/>
      <c r="E1" s="214"/>
      <c r="F1" s="214"/>
      <c r="G1" s="214"/>
      <c r="H1" s="214"/>
      <c r="I1" s="214"/>
    </row>
    <row r="2" spans="1:10" ht="12.75">
      <c r="A2" s="215" t="s">
        <v>1</v>
      </c>
      <c r="B2" s="216"/>
      <c r="C2" s="217" t="str">
        <f>'Stavební rozpočet'!C2</f>
        <v>Střecha BD náměstí Svobody 728/1</v>
      </c>
      <c r="D2" s="218"/>
      <c r="E2" s="220" t="s">
        <v>574</v>
      </c>
      <c r="F2" s="220" t="str">
        <f>'Stavební rozpočet'!H2</f>
        <v>SNEO, a.s. s.r.o., Nad Alejí 1876/2 , Praha 6</v>
      </c>
      <c r="G2" s="216"/>
      <c r="H2" s="220" t="s">
        <v>675</v>
      </c>
      <c r="I2" s="221" t="s">
        <v>679</v>
      </c>
      <c r="J2" s="1"/>
    </row>
    <row r="3" spans="1:10" ht="12.75">
      <c r="A3" s="201"/>
      <c r="B3" s="187"/>
      <c r="C3" s="219"/>
      <c r="D3" s="219"/>
      <c r="E3" s="187"/>
      <c r="F3" s="187"/>
      <c r="G3" s="187"/>
      <c r="H3" s="187"/>
      <c r="I3" s="212"/>
      <c r="J3" s="1"/>
    </row>
    <row r="4" spans="1:10" ht="12.75">
      <c r="A4" s="200" t="s">
        <v>2</v>
      </c>
      <c r="B4" s="187"/>
      <c r="C4" s="186" t="str">
        <f>'Stavební rozpočet'!C4</f>
        <v>rekonstrukce</v>
      </c>
      <c r="D4" s="187"/>
      <c r="E4" s="186" t="s">
        <v>575</v>
      </c>
      <c r="F4" s="186" t="str">
        <f>'Stavební rozpočet'!H4</f>
        <v>VMSprojekt s.r.o.</v>
      </c>
      <c r="G4" s="187"/>
      <c r="H4" s="186" t="s">
        <v>675</v>
      </c>
      <c r="I4" s="211" t="s">
        <v>680</v>
      </c>
      <c r="J4" s="1"/>
    </row>
    <row r="5" spans="1:10" ht="12.75">
      <c r="A5" s="201"/>
      <c r="B5" s="187"/>
      <c r="C5" s="187"/>
      <c r="D5" s="187"/>
      <c r="E5" s="187"/>
      <c r="F5" s="187"/>
      <c r="G5" s="187"/>
      <c r="H5" s="187"/>
      <c r="I5" s="212"/>
      <c r="J5" s="1"/>
    </row>
    <row r="6" spans="1:10" ht="12.75">
      <c r="A6" s="200" t="s">
        <v>3</v>
      </c>
      <c r="B6" s="187"/>
      <c r="C6" s="186" t="str">
        <f>'Stavební rozpočet'!C6</f>
        <v>Bubeneč, Praha</v>
      </c>
      <c r="D6" s="187"/>
      <c r="E6" s="186" t="s">
        <v>576</v>
      </c>
      <c r="F6" s="186" t="str">
        <f>'Stavební rozpočet'!H6</f>
        <v>Dle výběru investora</v>
      </c>
      <c r="G6" s="187"/>
      <c r="H6" s="186" t="s">
        <v>675</v>
      </c>
      <c r="I6" s="211"/>
      <c r="J6" s="1"/>
    </row>
    <row r="7" spans="1:10" ht="12.75">
      <c r="A7" s="201"/>
      <c r="B7" s="187"/>
      <c r="C7" s="187"/>
      <c r="D7" s="187"/>
      <c r="E7" s="187"/>
      <c r="F7" s="187"/>
      <c r="G7" s="187"/>
      <c r="H7" s="187"/>
      <c r="I7" s="212"/>
      <c r="J7" s="1"/>
    </row>
    <row r="8" spans="1:10" ht="12.75">
      <c r="A8" s="200" t="s">
        <v>531</v>
      </c>
      <c r="B8" s="187"/>
      <c r="C8" s="186" t="str">
        <f>'Stavební rozpočet'!E4</f>
        <v> </v>
      </c>
      <c r="D8" s="187"/>
      <c r="E8" s="186" t="s">
        <v>532</v>
      </c>
      <c r="F8" s="186" t="str">
        <f>'Stavební rozpočet'!E6</f>
        <v> </v>
      </c>
      <c r="G8" s="187"/>
      <c r="H8" s="208" t="s">
        <v>676</v>
      </c>
      <c r="I8" s="211" t="s">
        <v>131</v>
      </c>
      <c r="J8" s="1"/>
    </row>
    <row r="9" spans="1:10" ht="12.75">
      <c r="A9" s="201"/>
      <c r="B9" s="187"/>
      <c r="C9" s="187"/>
      <c r="D9" s="187"/>
      <c r="E9" s="187"/>
      <c r="F9" s="187"/>
      <c r="G9" s="187"/>
      <c r="H9" s="187"/>
      <c r="I9" s="212"/>
      <c r="J9" s="1"/>
    </row>
    <row r="10" spans="1:10" ht="12.75">
      <c r="A10" s="200" t="s">
        <v>4</v>
      </c>
      <c r="B10" s="187"/>
      <c r="C10" s="186">
        <f>'Stavební rozpočet'!C8</f>
        <v>8035212</v>
      </c>
      <c r="D10" s="187"/>
      <c r="E10" s="186" t="s">
        <v>577</v>
      </c>
      <c r="F10" s="186" t="str">
        <f>'Stavební rozpočet'!H8</f>
        <v>František Polan</v>
      </c>
      <c r="G10" s="187"/>
      <c r="H10" s="208" t="s">
        <v>677</v>
      </c>
      <c r="I10" s="209" t="str">
        <f>'Stavební rozpočet'!E8</f>
        <v>18.02.2021</v>
      </c>
      <c r="J10" s="1"/>
    </row>
    <row r="11" spans="1:10" ht="12.75">
      <c r="A11" s="206"/>
      <c r="B11" s="207"/>
      <c r="C11" s="207"/>
      <c r="D11" s="207"/>
      <c r="E11" s="207"/>
      <c r="F11" s="207"/>
      <c r="G11" s="207"/>
      <c r="H11" s="207"/>
      <c r="I11" s="210"/>
      <c r="J11" s="1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>
      <c r="A13" s="222" t="s">
        <v>681</v>
      </c>
      <c r="B13" s="223"/>
      <c r="C13" s="223"/>
      <c r="D13" s="223"/>
      <c r="E13" s="223"/>
      <c r="F13" s="31"/>
      <c r="G13" s="31"/>
      <c r="H13" s="31"/>
      <c r="I13" s="31"/>
    </row>
    <row r="14" spans="1:10" ht="12.75">
      <c r="A14" s="224" t="s">
        <v>682</v>
      </c>
      <c r="B14" s="225"/>
      <c r="C14" s="225"/>
      <c r="D14" s="225"/>
      <c r="E14" s="226"/>
      <c r="F14" s="32" t="s">
        <v>694</v>
      </c>
      <c r="G14" s="182" t="s">
        <v>695</v>
      </c>
      <c r="H14" s="32" t="s">
        <v>696</v>
      </c>
      <c r="I14" s="32" t="s">
        <v>694</v>
      </c>
      <c r="J14" s="10"/>
    </row>
    <row r="15" spans="1:10" ht="12.75">
      <c r="A15" s="227" t="s">
        <v>654</v>
      </c>
      <c r="B15" s="228"/>
      <c r="C15" s="228"/>
      <c r="D15" s="228"/>
      <c r="E15" s="229"/>
      <c r="F15" s="171">
        <v>0</v>
      </c>
      <c r="G15" s="36"/>
      <c r="H15" s="36"/>
      <c r="I15" s="33">
        <f>F15</f>
        <v>0</v>
      </c>
      <c r="J15" s="1"/>
    </row>
    <row r="16" spans="1:10" ht="12.75">
      <c r="A16" s="227"/>
      <c r="B16" s="228"/>
      <c r="C16" s="228"/>
      <c r="D16" s="228"/>
      <c r="E16" s="229"/>
      <c r="F16" s="33">
        <v>0</v>
      </c>
      <c r="G16" s="36"/>
      <c r="H16" s="36"/>
      <c r="I16" s="33">
        <f>F16</f>
        <v>0</v>
      </c>
      <c r="J16" s="1"/>
    </row>
    <row r="17" spans="1:10" ht="12.75">
      <c r="A17" s="230"/>
      <c r="B17" s="231"/>
      <c r="C17" s="231"/>
      <c r="D17" s="231"/>
      <c r="E17" s="232"/>
      <c r="F17" s="34">
        <v>0</v>
      </c>
      <c r="G17" s="37"/>
      <c r="H17" s="37"/>
      <c r="I17" s="34">
        <f>F17</f>
        <v>0</v>
      </c>
      <c r="J17" s="1"/>
    </row>
    <row r="18" spans="1:10" ht="12.75">
      <c r="A18" s="233" t="s">
        <v>683</v>
      </c>
      <c r="B18" s="234"/>
      <c r="C18" s="234"/>
      <c r="D18" s="234"/>
      <c r="E18" s="235"/>
      <c r="F18" s="35"/>
      <c r="G18" s="38"/>
      <c r="H18" s="38"/>
      <c r="I18" s="39">
        <f>SUM(I15:I17)</f>
        <v>0</v>
      </c>
      <c r="J18" s="10"/>
    </row>
    <row r="19" spans="1:9" ht="12.75">
      <c r="A19" s="30"/>
      <c r="B19" s="30"/>
      <c r="C19" s="30"/>
      <c r="D19" s="30"/>
      <c r="E19" s="30"/>
      <c r="F19" s="30"/>
      <c r="G19" s="30"/>
      <c r="H19" s="30"/>
      <c r="I19" s="30"/>
    </row>
    <row r="20" spans="1:10" ht="12.75">
      <c r="A20" s="224" t="s">
        <v>678</v>
      </c>
      <c r="B20" s="225"/>
      <c r="C20" s="225"/>
      <c r="D20" s="225"/>
      <c r="E20" s="226"/>
      <c r="F20" s="32" t="s">
        <v>694</v>
      </c>
      <c r="G20" s="32" t="s">
        <v>695</v>
      </c>
      <c r="H20" s="32" t="s">
        <v>696</v>
      </c>
      <c r="I20" s="32" t="s">
        <v>694</v>
      </c>
      <c r="J20" s="10"/>
    </row>
    <row r="21" spans="1:10" ht="12.75">
      <c r="A21" s="227" t="s">
        <v>662</v>
      </c>
      <c r="B21" s="228"/>
      <c r="C21" s="228"/>
      <c r="D21" s="228"/>
      <c r="E21" s="229"/>
      <c r="F21" s="36"/>
      <c r="G21" s="171">
        <v>0</v>
      </c>
      <c r="H21" s="33">
        <f>'Krycí list rozpočtu'!C22</f>
        <v>0</v>
      </c>
      <c r="I21" s="33">
        <f>ROUND((G21/100)*H21,2)</f>
        <v>0</v>
      </c>
      <c r="J21" s="1"/>
    </row>
    <row r="22" spans="1:10" ht="12.75">
      <c r="A22" s="227" t="s">
        <v>663</v>
      </c>
      <c r="B22" s="228"/>
      <c r="C22" s="228"/>
      <c r="D22" s="228"/>
      <c r="E22" s="229"/>
      <c r="F22" s="33">
        <v>0</v>
      </c>
      <c r="G22" s="33"/>
      <c r="H22" s="33"/>
      <c r="I22" s="33"/>
      <c r="J22" s="1"/>
    </row>
    <row r="23" spans="1:10" ht="12.75">
      <c r="A23" s="227" t="s">
        <v>664</v>
      </c>
      <c r="B23" s="228"/>
      <c r="C23" s="228"/>
      <c r="D23" s="228"/>
      <c r="E23" s="229"/>
      <c r="F23" s="33">
        <v>0</v>
      </c>
      <c r="G23" s="33"/>
      <c r="H23" s="33"/>
      <c r="I23" s="33"/>
      <c r="J23" s="1"/>
    </row>
    <row r="24" spans="1:10" ht="12.75">
      <c r="A24" s="227" t="s">
        <v>665</v>
      </c>
      <c r="B24" s="228"/>
      <c r="C24" s="228"/>
      <c r="D24" s="228"/>
      <c r="E24" s="229"/>
      <c r="F24" s="33">
        <v>0</v>
      </c>
      <c r="G24" s="171">
        <v>0</v>
      </c>
      <c r="H24" s="33">
        <f>'Krycí list rozpočtu'!C22</f>
        <v>0</v>
      </c>
      <c r="I24" s="33">
        <f>ROUND((G24/100)*H24,2)</f>
        <v>0</v>
      </c>
      <c r="J24" s="1"/>
    </row>
    <row r="25" spans="1:10" ht="12.75">
      <c r="A25" s="227" t="s">
        <v>666</v>
      </c>
      <c r="B25" s="228"/>
      <c r="C25" s="228"/>
      <c r="D25" s="228"/>
      <c r="E25" s="229"/>
      <c r="F25" s="33">
        <v>0</v>
      </c>
      <c r="G25" s="36"/>
      <c r="H25" s="36"/>
      <c r="I25" s="33">
        <f>F25</f>
        <v>0</v>
      </c>
      <c r="J25" s="1"/>
    </row>
    <row r="26" spans="1:10" ht="12.75">
      <c r="A26" s="230" t="s">
        <v>667</v>
      </c>
      <c r="B26" s="231"/>
      <c r="C26" s="231"/>
      <c r="D26" s="231"/>
      <c r="E26" s="232"/>
      <c r="F26" s="34">
        <v>0</v>
      </c>
      <c r="G26" s="37"/>
      <c r="H26" s="37"/>
      <c r="I26" s="34">
        <f>F26</f>
        <v>0</v>
      </c>
      <c r="J26" s="1"/>
    </row>
    <row r="27" spans="1:10" ht="12.75">
      <c r="A27" s="233" t="s">
        <v>684</v>
      </c>
      <c r="B27" s="234"/>
      <c r="C27" s="234"/>
      <c r="D27" s="234"/>
      <c r="E27" s="235"/>
      <c r="F27" s="35"/>
      <c r="G27" s="38"/>
      <c r="H27" s="38"/>
      <c r="I27" s="39">
        <f>SUM(I21:I26)</f>
        <v>0</v>
      </c>
      <c r="J27" s="1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10" ht="15" customHeight="1">
      <c r="A29" s="236" t="s">
        <v>685</v>
      </c>
      <c r="B29" s="237"/>
      <c r="C29" s="237"/>
      <c r="D29" s="237"/>
      <c r="E29" s="238"/>
      <c r="F29" s="239">
        <f>I18+I27</f>
        <v>0</v>
      </c>
      <c r="G29" s="240"/>
      <c r="H29" s="240"/>
      <c r="I29" s="241"/>
      <c r="J29" s="10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3" spans="1:9" ht="15" customHeight="1">
      <c r="A33" s="222" t="s">
        <v>686</v>
      </c>
      <c r="B33" s="223"/>
      <c r="C33" s="223"/>
      <c r="D33" s="223"/>
      <c r="E33" s="223"/>
      <c r="F33" s="31"/>
      <c r="G33" s="31"/>
      <c r="H33" s="31"/>
      <c r="I33" s="31"/>
    </row>
    <row r="34" spans="1:10" ht="12.75">
      <c r="A34" s="224" t="s">
        <v>687</v>
      </c>
      <c r="B34" s="225"/>
      <c r="C34" s="225"/>
      <c r="D34" s="225"/>
      <c r="E34" s="226"/>
      <c r="F34" s="32" t="s">
        <v>694</v>
      </c>
      <c r="G34" s="32" t="s">
        <v>695</v>
      </c>
      <c r="H34" s="32" t="s">
        <v>696</v>
      </c>
      <c r="I34" s="32" t="s">
        <v>694</v>
      </c>
      <c r="J34" s="10"/>
    </row>
    <row r="35" spans="1:10" ht="12.75">
      <c r="A35" s="227" t="s">
        <v>688</v>
      </c>
      <c r="B35" s="228"/>
      <c r="C35" s="228"/>
      <c r="D35" s="228"/>
      <c r="E35" s="229"/>
      <c r="F35" s="36"/>
      <c r="G35" s="171">
        <v>0</v>
      </c>
      <c r="H35" s="33">
        <f>'Krycí list rozpočtu'!C22</f>
        <v>0</v>
      </c>
      <c r="I35" s="33">
        <f>ROUND((G35/100)*H35,2)</f>
        <v>0</v>
      </c>
      <c r="J35" s="1"/>
    </row>
    <row r="36" spans="1:10" ht="12.75">
      <c r="A36" s="227" t="s">
        <v>689</v>
      </c>
      <c r="B36" s="228"/>
      <c r="C36" s="228"/>
      <c r="D36" s="228"/>
      <c r="E36" s="229"/>
      <c r="F36" s="36"/>
      <c r="G36" s="171">
        <v>0</v>
      </c>
      <c r="H36" s="33">
        <f>'Krycí list rozpočtu'!C22</f>
        <v>0</v>
      </c>
      <c r="I36" s="33">
        <f>ROUND((G36/100)*H36,2)</f>
        <v>0</v>
      </c>
      <c r="J36" s="1"/>
    </row>
    <row r="37" spans="1:10" ht="12.75">
      <c r="A37" s="227" t="s">
        <v>690</v>
      </c>
      <c r="B37" s="228"/>
      <c r="C37" s="228"/>
      <c r="D37" s="228"/>
      <c r="E37" s="229"/>
      <c r="F37" s="36"/>
      <c r="G37" s="171">
        <v>0</v>
      </c>
      <c r="H37" s="33">
        <f>'Krycí list rozpočtu'!C22</f>
        <v>0</v>
      </c>
      <c r="I37" s="33">
        <f>ROUND((G37/100)*H37,2)</f>
        <v>0</v>
      </c>
      <c r="J37" s="1"/>
    </row>
    <row r="38" spans="1:10" ht="12.75">
      <c r="A38" s="227" t="s">
        <v>791</v>
      </c>
      <c r="B38" s="228"/>
      <c r="C38" s="228"/>
      <c r="D38" s="228"/>
      <c r="E38" s="229"/>
      <c r="F38" s="171">
        <v>0</v>
      </c>
      <c r="G38" s="36"/>
      <c r="H38" s="36"/>
      <c r="I38" s="33">
        <f>F38</f>
        <v>0</v>
      </c>
      <c r="J38" s="1"/>
    </row>
    <row r="39" spans="1:10" ht="12.75">
      <c r="A39" s="227" t="s">
        <v>691</v>
      </c>
      <c r="B39" s="228"/>
      <c r="C39" s="228"/>
      <c r="D39" s="228"/>
      <c r="E39" s="229"/>
      <c r="F39" s="171">
        <v>0</v>
      </c>
      <c r="G39" s="36"/>
      <c r="H39" s="36"/>
      <c r="I39" s="33">
        <f>F39</f>
        <v>0</v>
      </c>
      <c r="J39" s="1"/>
    </row>
    <row r="40" spans="1:10" ht="12.75">
      <c r="A40" s="227" t="s">
        <v>665</v>
      </c>
      <c r="B40" s="228"/>
      <c r="C40" s="228"/>
      <c r="D40" s="228"/>
      <c r="E40" s="229"/>
      <c r="F40" s="36"/>
      <c r="G40" s="171">
        <v>0</v>
      </c>
      <c r="H40" s="33">
        <f>'Krycí list rozpočtu'!C22</f>
        <v>0</v>
      </c>
      <c r="I40" s="33">
        <f>ROUND((G40/100)*H40,2)</f>
        <v>0</v>
      </c>
      <c r="J40" s="1"/>
    </row>
    <row r="41" spans="1:10" ht="12.75">
      <c r="A41" s="230"/>
      <c r="B41" s="231"/>
      <c r="C41" s="231"/>
      <c r="D41" s="231"/>
      <c r="E41" s="232"/>
      <c r="F41" s="34"/>
      <c r="G41" s="37"/>
      <c r="H41" s="37"/>
      <c r="I41" s="34"/>
      <c r="J41" s="1"/>
    </row>
    <row r="42" spans="1:10" ht="12.75">
      <c r="A42" s="233" t="s">
        <v>692</v>
      </c>
      <c r="B42" s="234"/>
      <c r="C42" s="234"/>
      <c r="D42" s="234"/>
      <c r="E42" s="235"/>
      <c r="F42" s="35"/>
      <c r="G42" s="38"/>
      <c r="H42" s="38"/>
      <c r="I42" s="39">
        <f>SUM(I35:I41)</f>
        <v>0</v>
      </c>
      <c r="J42" s="10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</sheetData>
  <sheetProtection password="C4E8" sheet="1" objects="1" scenarios="1"/>
  <protectedRanges>
    <protectedRange sqref="G35" name="Range4"/>
    <protectedRange sqref="G24" name="Range3"/>
    <protectedRange sqref="G21" name="Range2"/>
    <protectedRange sqref="F15" name="Range1"/>
    <protectedRange sqref="G36" name="Range5"/>
    <protectedRange sqref="G37" name="Range6"/>
    <protectedRange sqref="F38" name="Range7"/>
    <protectedRange sqref="F39" name="Range8"/>
    <protectedRange sqref="G40" name="Range9"/>
  </protectedRanges>
  <mergeCells count="57">
    <mergeCell ref="C1:I1"/>
    <mergeCell ref="A2:B3"/>
    <mergeCell ref="C2:D3"/>
    <mergeCell ref="E2:E3"/>
    <mergeCell ref="F2:G3"/>
    <mergeCell ref="H2:H3"/>
    <mergeCell ref="I2:I3"/>
    <mergeCell ref="I8:I9"/>
    <mergeCell ref="A4:B5"/>
    <mergeCell ref="C4:D5"/>
    <mergeCell ref="E4:E5"/>
    <mergeCell ref="F4:G5"/>
    <mergeCell ref="A6:B7"/>
    <mergeCell ref="C6:D7"/>
    <mergeCell ref="E6:E7"/>
    <mergeCell ref="F6:G7"/>
    <mergeCell ref="A8:B9"/>
    <mergeCell ref="F10:G11"/>
    <mergeCell ref="H10:H11"/>
    <mergeCell ref="I10:I11"/>
    <mergeCell ref="E8:E9"/>
    <mergeCell ref="F8:G9"/>
    <mergeCell ref="H4:H5"/>
    <mergeCell ref="I4:I5"/>
    <mergeCell ref="H6:H7"/>
    <mergeCell ref="I6:I7"/>
    <mergeCell ref="H8:H9"/>
    <mergeCell ref="C8:D9"/>
    <mergeCell ref="A13:E13"/>
    <mergeCell ref="A14:E14"/>
    <mergeCell ref="A15:E15"/>
    <mergeCell ref="A16:E16"/>
    <mergeCell ref="A10:B11"/>
    <mergeCell ref="C10:D11"/>
    <mergeCell ref="E10:E11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  <mergeCell ref="A41:E41"/>
    <mergeCell ref="A42:E42"/>
    <mergeCell ref="A37:E37"/>
    <mergeCell ref="A38:E38"/>
    <mergeCell ref="A39:E39"/>
    <mergeCell ref="A40:E40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5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N1" sqref="N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83.8515625" style="0" customWidth="1"/>
    <col min="4" max="4" width="33.421875" style="0" customWidth="1"/>
    <col min="5" max="5" width="6.421875" style="0" customWidth="1"/>
    <col min="6" max="6" width="12.8515625" style="0" customWidth="1"/>
    <col min="7" max="7" width="12.00390625" style="0" customWidth="1"/>
    <col min="8" max="9" width="14.28125" style="0" hidden="1" customWidth="1"/>
    <col min="10" max="10" width="14.28125" style="0" customWidth="1"/>
    <col min="11" max="11" width="11.7109375" style="0" hidden="1" customWidth="1"/>
    <col min="12" max="13" width="11.7109375" style="0" customWidth="1"/>
    <col min="14" max="24" width="11.57421875" style="0" customWidth="1"/>
    <col min="25" max="64" width="12.140625" style="0" hidden="1" customWidth="1"/>
  </cols>
  <sheetData>
    <row r="1" spans="1:13" ht="38.25" customHeight="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4" ht="12.75">
      <c r="A2" s="281" t="s">
        <v>1</v>
      </c>
      <c r="B2" s="282"/>
      <c r="C2" s="283" t="s">
        <v>269</v>
      </c>
      <c r="D2" s="285" t="s">
        <v>530</v>
      </c>
      <c r="E2" s="285" t="s">
        <v>6</v>
      </c>
      <c r="F2" s="282"/>
      <c r="G2" s="286" t="s">
        <v>574</v>
      </c>
      <c r="H2" s="286" t="s">
        <v>580</v>
      </c>
      <c r="I2" s="282"/>
      <c r="J2" s="282"/>
      <c r="K2" s="282"/>
      <c r="L2" s="282"/>
      <c r="M2" s="287"/>
      <c r="N2" s="1"/>
    </row>
    <row r="3" spans="1:14" ht="12.75">
      <c r="A3" s="277"/>
      <c r="B3" s="266"/>
      <c r="C3" s="284"/>
      <c r="D3" s="266"/>
      <c r="E3" s="266"/>
      <c r="F3" s="266"/>
      <c r="G3" s="266"/>
      <c r="H3" s="266"/>
      <c r="I3" s="266"/>
      <c r="J3" s="266"/>
      <c r="K3" s="266"/>
      <c r="L3" s="266"/>
      <c r="M3" s="269"/>
      <c r="N3" s="1"/>
    </row>
    <row r="4" spans="1:14" ht="12.75">
      <c r="A4" s="276" t="s">
        <v>2</v>
      </c>
      <c r="B4" s="266"/>
      <c r="C4" s="268" t="s">
        <v>270</v>
      </c>
      <c r="D4" s="265" t="s">
        <v>531</v>
      </c>
      <c r="E4" s="265" t="s">
        <v>6</v>
      </c>
      <c r="F4" s="266"/>
      <c r="G4" s="268" t="s">
        <v>575</v>
      </c>
      <c r="H4" s="268" t="s">
        <v>581</v>
      </c>
      <c r="I4" s="266"/>
      <c r="J4" s="266"/>
      <c r="K4" s="266"/>
      <c r="L4" s="266"/>
      <c r="M4" s="269"/>
      <c r="N4" s="1"/>
    </row>
    <row r="5" spans="1:14" ht="12.75">
      <c r="A5" s="277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9"/>
      <c r="N5" s="1"/>
    </row>
    <row r="6" spans="1:14" ht="12.75">
      <c r="A6" s="276" t="s">
        <v>3</v>
      </c>
      <c r="B6" s="266"/>
      <c r="C6" s="268" t="s">
        <v>271</v>
      </c>
      <c r="D6" s="265" t="s">
        <v>532</v>
      </c>
      <c r="E6" s="265" t="s">
        <v>6</v>
      </c>
      <c r="F6" s="266"/>
      <c r="G6" s="268" t="s">
        <v>576</v>
      </c>
      <c r="H6" s="268" t="s">
        <v>582</v>
      </c>
      <c r="I6" s="266"/>
      <c r="J6" s="266"/>
      <c r="K6" s="266"/>
      <c r="L6" s="266"/>
      <c r="M6" s="269"/>
      <c r="N6" s="1"/>
    </row>
    <row r="7" spans="1:14" ht="12.75">
      <c r="A7" s="277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9"/>
      <c r="N7" s="1"/>
    </row>
    <row r="8" spans="1:14" ht="12.75">
      <c r="A8" s="276" t="s">
        <v>4</v>
      </c>
      <c r="B8" s="266"/>
      <c r="C8" s="268">
        <v>8035212</v>
      </c>
      <c r="D8" s="265" t="s">
        <v>533</v>
      </c>
      <c r="E8" s="265" t="s">
        <v>562</v>
      </c>
      <c r="F8" s="266"/>
      <c r="G8" s="268" t="s">
        <v>577</v>
      </c>
      <c r="H8" s="268" t="s">
        <v>583</v>
      </c>
      <c r="I8" s="266"/>
      <c r="J8" s="266"/>
      <c r="K8" s="266"/>
      <c r="L8" s="266"/>
      <c r="M8" s="269"/>
      <c r="N8" s="1"/>
    </row>
    <row r="9" spans="1:14" ht="12.75">
      <c r="A9" s="278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70"/>
      <c r="N9" s="1"/>
    </row>
    <row r="10" spans="1:64" ht="12.75">
      <c r="A10" s="159" t="s">
        <v>5</v>
      </c>
      <c r="B10" s="160" t="s">
        <v>134</v>
      </c>
      <c r="C10" s="271" t="s">
        <v>272</v>
      </c>
      <c r="D10" s="272"/>
      <c r="E10" s="160" t="s">
        <v>563</v>
      </c>
      <c r="F10" s="161" t="s">
        <v>573</v>
      </c>
      <c r="G10" s="162" t="s">
        <v>578</v>
      </c>
      <c r="H10" s="273" t="s">
        <v>584</v>
      </c>
      <c r="I10" s="274"/>
      <c r="J10" s="275"/>
      <c r="K10" s="273" t="s">
        <v>589</v>
      </c>
      <c r="L10" s="275"/>
      <c r="M10" s="163" t="s">
        <v>591</v>
      </c>
      <c r="N10" s="10"/>
      <c r="BK10" s="8" t="s">
        <v>633</v>
      </c>
      <c r="BL10" s="15" t="s">
        <v>636</v>
      </c>
    </row>
    <row r="11" spans="1:62" ht="12.75">
      <c r="A11" s="164" t="s">
        <v>6</v>
      </c>
      <c r="B11" s="165" t="s">
        <v>6</v>
      </c>
      <c r="C11" s="261" t="s">
        <v>273</v>
      </c>
      <c r="D11" s="262"/>
      <c r="E11" s="165" t="s">
        <v>6</v>
      </c>
      <c r="F11" s="165" t="s">
        <v>6</v>
      </c>
      <c r="G11" s="166" t="s">
        <v>579</v>
      </c>
      <c r="H11" s="167" t="s">
        <v>585</v>
      </c>
      <c r="I11" s="168" t="s">
        <v>587</v>
      </c>
      <c r="J11" s="169" t="s">
        <v>588</v>
      </c>
      <c r="K11" s="167" t="s">
        <v>590</v>
      </c>
      <c r="L11" s="169" t="s">
        <v>588</v>
      </c>
      <c r="M11" s="170" t="s">
        <v>592</v>
      </c>
      <c r="N11" s="10"/>
      <c r="Z11" s="8" t="s">
        <v>595</v>
      </c>
      <c r="AA11" s="8" t="s">
        <v>596</v>
      </c>
      <c r="AB11" s="8" t="s">
        <v>597</v>
      </c>
      <c r="AC11" s="8" t="s">
        <v>598</v>
      </c>
      <c r="AD11" s="8" t="s">
        <v>599</v>
      </c>
      <c r="AE11" s="8" t="s">
        <v>600</v>
      </c>
      <c r="AF11" s="8" t="s">
        <v>601</v>
      </c>
      <c r="AG11" s="8" t="s">
        <v>602</v>
      </c>
      <c r="AH11" s="8" t="s">
        <v>603</v>
      </c>
      <c r="BH11" s="8" t="s">
        <v>630</v>
      </c>
      <c r="BI11" s="8" t="s">
        <v>631</v>
      </c>
      <c r="BJ11" s="8" t="s">
        <v>632</v>
      </c>
    </row>
    <row r="12" spans="1:47" ht="12.75">
      <c r="A12" s="120"/>
      <c r="B12" s="121" t="s">
        <v>37</v>
      </c>
      <c r="C12" s="263" t="s">
        <v>274</v>
      </c>
      <c r="D12" s="264"/>
      <c r="E12" s="122" t="s">
        <v>6</v>
      </c>
      <c r="F12" s="122" t="s">
        <v>6</v>
      </c>
      <c r="G12" s="122" t="s">
        <v>6</v>
      </c>
      <c r="H12" s="123">
        <f>SUM(H13:H13)</f>
        <v>0</v>
      </c>
      <c r="I12" s="123">
        <f>SUM(I13:I13)</f>
        <v>0</v>
      </c>
      <c r="J12" s="123">
        <f>SUM(J13:J13)</f>
        <v>0</v>
      </c>
      <c r="K12" s="124"/>
      <c r="L12" s="123">
        <f>SUM(L13:L13)</f>
        <v>0.3609</v>
      </c>
      <c r="M12" s="125"/>
      <c r="N12" s="1"/>
      <c r="AI12" s="8"/>
      <c r="AS12" s="16">
        <f>SUM(AJ13:AJ13)</f>
        <v>0</v>
      </c>
      <c r="AT12" s="16">
        <f>SUM(AK13:AK13)</f>
        <v>0</v>
      </c>
      <c r="AU12" s="16">
        <f>SUM(AL13:AL13)</f>
        <v>0</v>
      </c>
    </row>
    <row r="13" spans="1:64" ht="12.75">
      <c r="A13" s="126" t="s">
        <v>7</v>
      </c>
      <c r="B13" s="127" t="s">
        <v>135</v>
      </c>
      <c r="C13" s="242" t="s">
        <v>275</v>
      </c>
      <c r="D13" s="243"/>
      <c r="E13" s="127" t="s">
        <v>564</v>
      </c>
      <c r="F13" s="128">
        <v>3</v>
      </c>
      <c r="G13" s="174"/>
      <c r="H13" s="129">
        <f>F13*AO13</f>
        <v>0</v>
      </c>
      <c r="I13" s="129">
        <f>F13*AP13</f>
        <v>0</v>
      </c>
      <c r="J13" s="129">
        <f>F13*G13</f>
        <v>0</v>
      </c>
      <c r="K13" s="129">
        <v>0.1203</v>
      </c>
      <c r="L13" s="129">
        <f>F13*K13</f>
        <v>0.3609</v>
      </c>
      <c r="M13" s="130" t="s">
        <v>593</v>
      </c>
      <c r="N13" s="1"/>
      <c r="Z13" s="11">
        <f>IF(AQ13="5",BJ13,0)</f>
        <v>0</v>
      </c>
      <c r="AB13" s="11">
        <f>IF(AQ13="1",BH13,0)</f>
        <v>0</v>
      </c>
      <c r="AC13" s="11">
        <f>IF(AQ13="1",BI13,0)</f>
        <v>0</v>
      </c>
      <c r="AD13" s="11">
        <f>IF(AQ13="7",BH13,0)</f>
        <v>0</v>
      </c>
      <c r="AE13" s="11">
        <f>IF(AQ13="7",BI13,0)</f>
        <v>0</v>
      </c>
      <c r="AF13" s="11">
        <f>IF(AQ13="2",BH13,0)</f>
        <v>0</v>
      </c>
      <c r="AG13" s="11">
        <f>IF(AQ13="2",BI13,0)</f>
        <v>0</v>
      </c>
      <c r="AH13" s="11">
        <f>IF(AQ13="0",BJ13,0)</f>
        <v>0</v>
      </c>
      <c r="AI13" s="8"/>
      <c r="AJ13" s="6">
        <f>IF(AN13=0,J13,0)</f>
        <v>0</v>
      </c>
      <c r="AK13" s="6">
        <f>IF(AN13=15,J13,0)</f>
        <v>0</v>
      </c>
      <c r="AL13" s="6">
        <f>IF(AN13=21,J13,0)</f>
        <v>0</v>
      </c>
      <c r="AN13" s="11">
        <v>21</v>
      </c>
      <c r="AO13" s="11">
        <f>G13*0.343456029538359</f>
        <v>0</v>
      </c>
      <c r="AP13" s="11">
        <f>G13*(1-0.343456029538359)</f>
        <v>0</v>
      </c>
      <c r="AQ13" s="12" t="s">
        <v>7</v>
      </c>
      <c r="AV13" s="11">
        <f>AW13+AX13</f>
        <v>0</v>
      </c>
      <c r="AW13" s="11">
        <f>F13*AO13</f>
        <v>0</v>
      </c>
      <c r="AX13" s="11">
        <f>F13*AP13</f>
        <v>0</v>
      </c>
      <c r="AY13" s="14" t="s">
        <v>604</v>
      </c>
      <c r="AZ13" s="14" t="s">
        <v>622</v>
      </c>
      <c r="BA13" s="8" t="s">
        <v>629</v>
      </c>
      <c r="BC13" s="11">
        <f>AW13+AX13</f>
        <v>0</v>
      </c>
      <c r="BD13" s="11">
        <f>G13/(100-BE13)*100</f>
        <v>0</v>
      </c>
      <c r="BE13" s="11">
        <v>0</v>
      </c>
      <c r="BF13" s="11">
        <f>L13</f>
        <v>0.3609</v>
      </c>
      <c r="BH13" s="6">
        <f>F13*AO13</f>
        <v>0</v>
      </c>
      <c r="BI13" s="6">
        <f>F13*AP13</f>
        <v>0</v>
      </c>
      <c r="BJ13" s="6">
        <f>F13*G13</f>
        <v>0</v>
      </c>
      <c r="BK13" s="6" t="s">
        <v>634</v>
      </c>
      <c r="BL13" s="11">
        <v>31</v>
      </c>
    </row>
    <row r="14" spans="1:14" ht="12.75">
      <c r="A14" s="131"/>
      <c r="B14" s="132"/>
      <c r="C14" s="133" t="s">
        <v>9</v>
      </c>
      <c r="D14" s="134"/>
      <c r="E14" s="132"/>
      <c r="F14" s="135">
        <v>3</v>
      </c>
      <c r="G14" s="173"/>
      <c r="H14" s="132"/>
      <c r="I14" s="132"/>
      <c r="J14" s="132"/>
      <c r="K14" s="132"/>
      <c r="L14" s="132"/>
      <c r="M14" s="136"/>
      <c r="N14" s="1"/>
    </row>
    <row r="15" spans="1:47" ht="12.75">
      <c r="A15" s="137"/>
      <c r="B15" s="138" t="s">
        <v>68</v>
      </c>
      <c r="C15" s="244" t="s">
        <v>276</v>
      </c>
      <c r="D15" s="245"/>
      <c r="E15" s="139" t="s">
        <v>6</v>
      </c>
      <c r="F15" s="139" t="s">
        <v>6</v>
      </c>
      <c r="G15" s="139" t="s">
        <v>6</v>
      </c>
      <c r="H15" s="140">
        <f>SUM(H16:H21)</f>
        <v>0</v>
      </c>
      <c r="I15" s="140">
        <f>SUM(I16:I21)</f>
        <v>0</v>
      </c>
      <c r="J15" s="140">
        <f>SUM(J16:J21)</f>
        <v>0</v>
      </c>
      <c r="K15" s="141"/>
      <c r="L15" s="140">
        <f>SUM(L16:L21)</f>
        <v>29.94250366</v>
      </c>
      <c r="M15" s="142"/>
      <c r="N15" s="1"/>
      <c r="AI15" s="8"/>
      <c r="AS15" s="16">
        <f>SUM(AJ16:AJ21)</f>
        <v>0</v>
      </c>
      <c r="AT15" s="16">
        <f>SUM(AK16:AK21)</f>
        <v>0</v>
      </c>
      <c r="AU15" s="16">
        <f>SUM(AL16:AL21)</f>
        <v>0</v>
      </c>
    </row>
    <row r="16" spans="1:64" ht="12.75">
      <c r="A16" s="126" t="s">
        <v>8</v>
      </c>
      <c r="B16" s="127" t="s">
        <v>136</v>
      </c>
      <c r="C16" s="242" t="s">
        <v>277</v>
      </c>
      <c r="D16" s="243"/>
      <c r="E16" s="127" t="s">
        <v>565</v>
      </c>
      <c r="F16" s="128">
        <v>865</v>
      </c>
      <c r="G16" s="174"/>
      <c r="H16" s="129">
        <f>F16*AO16</f>
        <v>0</v>
      </c>
      <c r="I16" s="129">
        <f>F16*AP16</f>
        <v>0</v>
      </c>
      <c r="J16" s="129">
        <f>F16*G16</f>
        <v>0</v>
      </c>
      <c r="K16" s="129">
        <v>0.02352</v>
      </c>
      <c r="L16" s="129">
        <f>F16*K16</f>
        <v>20.3448</v>
      </c>
      <c r="M16" s="130" t="s">
        <v>593</v>
      </c>
      <c r="N16" s="1"/>
      <c r="Z16" s="11">
        <f>IF(AQ16="5",BJ16,0)</f>
        <v>0</v>
      </c>
      <c r="AB16" s="11">
        <f>IF(AQ16="1",BH16,0)</f>
        <v>0</v>
      </c>
      <c r="AC16" s="11">
        <f>IF(AQ16="1",BI16,0)</f>
        <v>0</v>
      </c>
      <c r="AD16" s="11">
        <f>IF(AQ16="7",BH16,0)</f>
        <v>0</v>
      </c>
      <c r="AE16" s="11">
        <f>IF(AQ16="7",BI16,0)</f>
        <v>0</v>
      </c>
      <c r="AF16" s="11">
        <f>IF(AQ16="2",BH16,0)</f>
        <v>0</v>
      </c>
      <c r="AG16" s="11">
        <f>IF(AQ16="2",BI16,0)</f>
        <v>0</v>
      </c>
      <c r="AH16" s="11">
        <f>IF(AQ16="0",BJ16,0)</f>
        <v>0</v>
      </c>
      <c r="AI16" s="8"/>
      <c r="AJ16" s="6">
        <f>IF(AN16=0,J16,0)</f>
        <v>0</v>
      </c>
      <c r="AK16" s="6">
        <f>IF(AN16=15,J16,0)</f>
        <v>0</v>
      </c>
      <c r="AL16" s="6">
        <f>IF(AN16=21,J16,0)</f>
        <v>0</v>
      </c>
      <c r="AN16" s="11">
        <v>21</v>
      </c>
      <c r="AO16" s="11">
        <f>G16*0.244764753875442</f>
        <v>0</v>
      </c>
      <c r="AP16" s="11">
        <f>G16*(1-0.244764753875442)</f>
        <v>0</v>
      </c>
      <c r="AQ16" s="12" t="s">
        <v>7</v>
      </c>
      <c r="AV16" s="11">
        <f>AW16+AX16</f>
        <v>0</v>
      </c>
      <c r="AW16" s="11">
        <f>F16*AO16</f>
        <v>0</v>
      </c>
      <c r="AX16" s="11">
        <f>F16*AP16</f>
        <v>0</v>
      </c>
      <c r="AY16" s="14" t="s">
        <v>605</v>
      </c>
      <c r="AZ16" s="14" t="s">
        <v>623</v>
      </c>
      <c r="BA16" s="8" t="s">
        <v>629</v>
      </c>
      <c r="BC16" s="11">
        <f>AW16+AX16</f>
        <v>0</v>
      </c>
      <c r="BD16" s="11">
        <f>G16/(100-BE16)*100</f>
        <v>0</v>
      </c>
      <c r="BE16" s="11">
        <v>0</v>
      </c>
      <c r="BF16" s="11">
        <f>L16</f>
        <v>20.3448</v>
      </c>
      <c r="BH16" s="6">
        <f>F16*AO16</f>
        <v>0</v>
      </c>
      <c r="BI16" s="6">
        <f>F16*AP16</f>
        <v>0</v>
      </c>
      <c r="BJ16" s="6">
        <f>F16*G16</f>
        <v>0</v>
      </c>
      <c r="BK16" s="6" t="s">
        <v>634</v>
      </c>
      <c r="BL16" s="11">
        <v>62</v>
      </c>
    </row>
    <row r="17" spans="1:14" ht="12.75">
      <c r="A17" s="131"/>
      <c r="B17" s="143" t="s">
        <v>137</v>
      </c>
      <c r="C17" s="250" t="s">
        <v>790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2"/>
      <c r="N17" s="1"/>
    </row>
    <row r="18" spans="1:14" ht="12.75">
      <c r="A18" s="131"/>
      <c r="B18" s="132"/>
      <c r="C18" s="133" t="s">
        <v>278</v>
      </c>
      <c r="D18" s="134" t="s">
        <v>534</v>
      </c>
      <c r="E18" s="132"/>
      <c r="F18" s="135">
        <v>865</v>
      </c>
      <c r="G18" s="173"/>
      <c r="H18" s="132"/>
      <c r="I18" s="132"/>
      <c r="J18" s="132"/>
      <c r="K18" s="132"/>
      <c r="L18" s="132"/>
      <c r="M18" s="136"/>
      <c r="N18" s="1"/>
    </row>
    <row r="19" spans="1:64" ht="12.75">
      <c r="A19" s="126" t="s">
        <v>9</v>
      </c>
      <c r="B19" s="127" t="s">
        <v>138</v>
      </c>
      <c r="C19" s="242" t="s">
        <v>792</v>
      </c>
      <c r="D19" s="243"/>
      <c r="E19" s="127" t="s">
        <v>565</v>
      </c>
      <c r="F19" s="128">
        <v>310.95</v>
      </c>
      <c r="G19" s="174"/>
      <c r="H19" s="129">
        <f>F19*AO19</f>
        <v>0</v>
      </c>
      <c r="I19" s="129">
        <f>F19*AP19</f>
        <v>0</v>
      </c>
      <c r="J19" s="129">
        <f>F19*G19</f>
        <v>0</v>
      </c>
      <c r="K19" s="129">
        <v>0.0267</v>
      </c>
      <c r="L19" s="129">
        <f>F19*K19</f>
        <v>8.302365</v>
      </c>
      <c r="M19" s="130" t="s">
        <v>593</v>
      </c>
      <c r="N19" s="1"/>
      <c r="Z19" s="11">
        <f>IF(AQ19="5",BJ19,0)</f>
        <v>0</v>
      </c>
      <c r="AB19" s="11">
        <f>IF(AQ19="1",BH19,0)</f>
        <v>0</v>
      </c>
      <c r="AC19" s="11">
        <f>IF(AQ19="1",BI19,0)</f>
        <v>0</v>
      </c>
      <c r="AD19" s="11">
        <f>IF(AQ19="7",BH19,0)</f>
        <v>0</v>
      </c>
      <c r="AE19" s="11">
        <f>IF(AQ19="7",BI19,0)</f>
        <v>0</v>
      </c>
      <c r="AF19" s="11">
        <f>IF(AQ19="2",BH19,0)</f>
        <v>0</v>
      </c>
      <c r="AG19" s="11">
        <f>IF(AQ19="2",BI19,0)</f>
        <v>0</v>
      </c>
      <c r="AH19" s="11">
        <f>IF(AQ19="0",BJ19,0)</f>
        <v>0</v>
      </c>
      <c r="AI19" s="8"/>
      <c r="AJ19" s="6">
        <f>IF(AN19=0,J19,0)</f>
        <v>0</v>
      </c>
      <c r="AK19" s="6">
        <f>IF(AN19=15,J19,0)</f>
        <v>0</v>
      </c>
      <c r="AL19" s="6">
        <f>IF(AN19=21,J19,0)</f>
        <v>0</v>
      </c>
      <c r="AN19" s="11">
        <v>21</v>
      </c>
      <c r="AO19" s="11">
        <f>G19*0.459916081146664</f>
        <v>0</v>
      </c>
      <c r="AP19" s="11">
        <f>G19*(1-0.459916081146664)</f>
        <v>0</v>
      </c>
      <c r="AQ19" s="12" t="s">
        <v>7</v>
      </c>
      <c r="AV19" s="11">
        <f>AW19+AX19</f>
        <v>0</v>
      </c>
      <c r="AW19" s="11">
        <f>F19*AO19</f>
        <v>0</v>
      </c>
      <c r="AX19" s="11">
        <f>F19*AP19</f>
        <v>0</v>
      </c>
      <c r="AY19" s="14" t="s">
        <v>605</v>
      </c>
      <c r="AZ19" s="14" t="s">
        <v>623</v>
      </c>
      <c r="BA19" s="8" t="s">
        <v>629</v>
      </c>
      <c r="BC19" s="11">
        <f>AW19+AX19</f>
        <v>0</v>
      </c>
      <c r="BD19" s="11">
        <f>G19/(100-BE19)*100</f>
        <v>0</v>
      </c>
      <c r="BE19" s="11">
        <v>0</v>
      </c>
      <c r="BF19" s="11">
        <f>L19</f>
        <v>8.302365</v>
      </c>
      <c r="BH19" s="6">
        <f>F19*AO19</f>
        <v>0</v>
      </c>
      <c r="BI19" s="6">
        <f>F19*AP19</f>
        <v>0</v>
      </c>
      <c r="BJ19" s="6">
        <f>F19*G19</f>
        <v>0</v>
      </c>
      <c r="BK19" s="6" t="s">
        <v>634</v>
      </c>
      <c r="BL19" s="11">
        <v>62</v>
      </c>
    </row>
    <row r="20" spans="1:14" ht="12.75">
      <c r="A20" s="131"/>
      <c r="B20" s="132"/>
      <c r="C20" s="133" t="s">
        <v>279</v>
      </c>
      <c r="D20" s="134" t="s">
        <v>535</v>
      </c>
      <c r="E20" s="132"/>
      <c r="F20" s="135">
        <v>310.95</v>
      </c>
      <c r="G20" s="173"/>
      <c r="H20" s="132"/>
      <c r="I20" s="132"/>
      <c r="J20" s="132"/>
      <c r="K20" s="132"/>
      <c r="L20" s="132"/>
      <c r="M20" s="136"/>
      <c r="N20" s="1"/>
    </row>
    <row r="21" spans="1:64" ht="12.75">
      <c r="A21" s="126" t="s">
        <v>10</v>
      </c>
      <c r="B21" s="127" t="s">
        <v>139</v>
      </c>
      <c r="C21" s="242" t="s">
        <v>280</v>
      </c>
      <c r="D21" s="243"/>
      <c r="E21" s="127" t="s">
        <v>565</v>
      </c>
      <c r="F21" s="128">
        <v>193.046</v>
      </c>
      <c r="G21" s="174"/>
      <c r="H21" s="129">
        <f>F21*AO21</f>
        <v>0</v>
      </c>
      <c r="I21" s="129">
        <f>F21*AP21</f>
        <v>0</v>
      </c>
      <c r="J21" s="129">
        <f>F21*G21</f>
        <v>0</v>
      </c>
      <c r="K21" s="129">
        <v>0.00671</v>
      </c>
      <c r="L21" s="129">
        <f>F21*K21</f>
        <v>1.2953386599999999</v>
      </c>
      <c r="M21" s="130" t="s">
        <v>593</v>
      </c>
      <c r="N21" s="1"/>
      <c r="Z21" s="11">
        <f>IF(AQ21="5",BJ21,0)</f>
        <v>0</v>
      </c>
      <c r="AB21" s="11">
        <f>IF(AQ21="1",BH21,0)</f>
        <v>0</v>
      </c>
      <c r="AC21" s="11">
        <f>IF(AQ21="1",BI21,0)</f>
        <v>0</v>
      </c>
      <c r="AD21" s="11">
        <f>IF(AQ21="7",BH21,0)</f>
        <v>0</v>
      </c>
      <c r="AE21" s="11">
        <f>IF(AQ21="7",BI21,0)</f>
        <v>0</v>
      </c>
      <c r="AF21" s="11">
        <f>IF(AQ21="2",BH21,0)</f>
        <v>0</v>
      </c>
      <c r="AG21" s="11">
        <f>IF(AQ21="2",BI21,0)</f>
        <v>0</v>
      </c>
      <c r="AH21" s="11">
        <f>IF(AQ21="0",BJ21,0)</f>
        <v>0</v>
      </c>
      <c r="AI21" s="8"/>
      <c r="AJ21" s="6">
        <f>IF(AN21=0,J21,0)</f>
        <v>0</v>
      </c>
      <c r="AK21" s="6">
        <f>IF(AN21=15,J21,0)</f>
        <v>0</v>
      </c>
      <c r="AL21" s="6">
        <f>IF(AN21=21,J21,0)</f>
        <v>0</v>
      </c>
      <c r="AN21" s="11">
        <v>21</v>
      </c>
      <c r="AO21" s="11">
        <f>G21*0.118032735654916</f>
        <v>0</v>
      </c>
      <c r="AP21" s="11">
        <f>G21*(1-0.118032735654916)</f>
        <v>0</v>
      </c>
      <c r="AQ21" s="12" t="s">
        <v>7</v>
      </c>
      <c r="AV21" s="11">
        <f>AW21+AX21</f>
        <v>0</v>
      </c>
      <c r="AW21" s="11">
        <f>F21*AO21</f>
        <v>0</v>
      </c>
      <c r="AX21" s="11">
        <f>F21*AP21</f>
        <v>0</v>
      </c>
      <c r="AY21" s="14" t="s">
        <v>605</v>
      </c>
      <c r="AZ21" s="14" t="s">
        <v>623</v>
      </c>
      <c r="BA21" s="8" t="s">
        <v>629</v>
      </c>
      <c r="BC21" s="11">
        <f>AW21+AX21</f>
        <v>0</v>
      </c>
      <c r="BD21" s="11">
        <f>G21/(100-BE21)*100</f>
        <v>0</v>
      </c>
      <c r="BE21" s="11">
        <v>0</v>
      </c>
      <c r="BF21" s="11">
        <f>L21</f>
        <v>1.2953386599999999</v>
      </c>
      <c r="BH21" s="6">
        <f>F21*AO21</f>
        <v>0</v>
      </c>
      <c r="BI21" s="6">
        <f>F21*AP21</f>
        <v>0</v>
      </c>
      <c r="BJ21" s="6">
        <f>F21*G21</f>
        <v>0</v>
      </c>
      <c r="BK21" s="6" t="s">
        <v>634</v>
      </c>
      <c r="BL21" s="11">
        <v>62</v>
      </c>
    </row>
    <row r="22" spans="1:14" ht="12.75">
      <c r="A22" s="131"/>
      <c r="B22" s="132"/>
      <c r="C22" s="133" t="s">
        <v>281</v>
      </c>
      <c r="D22" s="134" t="s">
        <v>536</v>
      </c>
      <c r="E22" s="132"/>
      <c r="F22" s="135">
        <v>193.046</v>
      </c>
      <c r="G22" s="173"/>
      <c r="H22" s="132"/>
      <c r="I22" s="132"/>
      <c r="J22" s="132"/>
      <c r="K22" s="132"/>
      <c r="L22" s="132"/>
      <c r="M22" s="136"/>
      <c r="N22" s="1"/>
    </row>
    <row r="23" spans="1:47" ht="12.75">
      <c r="A23" s="137"/>
      <c r="B23" s="138" t="s">
        <v>69</v>
      </c>
      <c r="C23" s="244" t="s">
        <v>282</v>
      </c>
      <c r="D23" s="245"/>
      <c r="E23" s="139" t="s">
        <v>6</v>
      </c>
      <c r="F23" s="139" t="s">
        <v>6</v>
      </c>
      <c r="G23" s="139" t="s">
        <v>6</v>
      </c>
      <c r="H23" s="140">
        <f>SUM(H24:H37)</f>
        <v>0</v>
      </c>
      <c r="I23" s="140">
        <f>SUM(I24:I37)</f>
        <v>0</v>
      </c>
      <c r="J23" s="140">
        <f>SUM(J24:J37)</f>
        <v>0</v>
      </c>
      <c r="K23" s="141"/>
      <c r="L23" s="140">
        <f>SUM(L24:L37)</f>
        <v>197.23555325</v>
      </c>
      <c r="M23" s="142"/>
      <c r="N23" s="1"/>
      <c r="AI23" s="8"/>
      <c r="AS23" s="16">
        <f>SUM(AJ24:AJ37)</f>
        <v>0</v>
      </c>
      <c r="AT23" s="16">
        <f>SUM(AK24:AK37)</f>
        <v>0</v>
      </c>
      <c r="AU23" s="16">
        <f>SUM(AL24:AL37)</f>
        <v>0</v>
      </c>
    </row>
    <row r="24" spans="1:64" ht="12.75">
      <c r="A24" s="126" t="s">
        <v>11</v>
      </c>
      <c r="B24" s="127" t="s">
        <v>140</v>
      </c>
      <c r="C24" s="242" t="s">
        <v>793</v>
      </c>
      <c r="D24" s="243"/>
      <c r="E24" s="127" t="s">
        <v>565</v>
      </c>
      <c r="F24" s="128">
        <v>31.095</v>
      </c>
      <c r="G24" s="174"/>
      <c r="H24" s="129">
        <f>F24*AO24</f>
        <v>0</v>
      </c>
      <c r="I24" s="129">
        <f>F24*AP24</f>
        <v>0</v>
      </c>
      <c r="J24" s="129">
        <f>F24*G24</f>
        <v>0</v>
      </c>
      <c r="K24" s="129">
        <v>0.00315</v>
      </c>
      <c r="L24" s="129">
        <f>F24*K24</f>
        <v>0.09794925</v>
      </c>
      <c r="M24" s="130" t="s">
        <v>593</v>
      </c>
      <c r="N24" s="1"/>
      <c r="Z24" s="11">
        <f>IF(AQ24="5",BJ24,0)</f>
        <v>0</v>
      </c>
      <c r="AB24" s="11">
        <f>IF(AQ24="1",BH24,0)</f>
        <v>0</v>
      </c>
      <c r="AC24" s="11">
        <f>IF(AQ24="1",BI24,0)</f>
        <v>0</v>
      </c>
      <c r="AD24" s="11">
        <f>IF(AQ24="7",BH24,0)</f>
        <v>0</v>
      </c>
      <c r="AE24" s="11">
        <f>IF(AQ24="7",BI24,0)</f>
        <v>0</v>
      </c>
      <c r="AF24" s="11">
        <f>IF(AQ24="2",BH24,0)</f>
        <v>0</v>
      </c>
      <c r="AG24" s="11">
        <f>IF(AQ24="2",BI24,0)</f>
        <v>0</v>
      </c>
      <c r="AH24" s="11">
        <f>IF(AQ24="0",BJ24,0)</f>
        <v>0</v>
      </c>
      <c r="AI24" s="8"/>
      <c r="AJ24" s="6">
        <f>IF(AN24=0,J24,0)</f>
        <v>0</v>
      </c>
      <c r="AK24" s="6">
        <f>IF(AN24=15,J24,0)</f>
        <v>0</v>
      </c>
      <c r="AL24" s="6">
        <f>IF(AN24=21,J24,0)</f>
        <v>0</v>
      </c>
      <c r="AN24" s="11">
        <v>21</v>
      </c>
      <c r="AO24" s="11">
        <f>G24*0.569027118679416</f>
        <v>0</v>
      </c>
      <c r="AP24" s="11">
        <f>G24*(1-0.569027118679416)</f>
        <v>0</v>
      </c>
      <c r="AQ24" s="12" t="s">
        <v>7</v>
      </c>
      <c r="AV24" s="11">
        <f>AW24+AX24</f>
        <v>0</v>
      </c>
      <c r="AW24" s="11">
        <f>F24*AO24</f>
        <v>0</v>
      </c>
      <c r="AX24" s="11">
        <f>F24*AP24</f>
        <v>0</v>
      </c>
      <c r="AY24" s="14" t="s">
        <v>606</v>
      </c>
      <c r="AZ24" s="14" t="s">
        <v>623</v>
      </c>
      <c r="BA24" s="8" t="s">
        <v>629</v>
      </c>
      <c r="BC24" s="11">
        <f>AW24+AX24</f>
        <v>0</v>
      </c>
      <c r="BD24" s="11">
        <f>G24/(100-BE24)*100</f>
        <v>0</v>
      </c>
      <c r="BE24" s="11">
        <v>0</v>
      </c>
      <c r="BF24" s="11">
        <f>L24</f>
        <v>0.09794925</v>
      </c>
      <c r="BH24" s="6">
        <f>F24*AO24</f>
        <v>0</v>
      </c>
      <c r="BI24" s="6">
        <f>F24*AP24</f>
        <v>0</v>
      </c>
      <c r="BJ24" s="6">
        <f>F24*G24</f>
        <v>0</v>
      </c>
      <c r="BK24" s="6" t="s">
        <v>634</v>
      </c>
      <c r="BL24" s="11">
        <v>63</v>
      </c>
    </row>
    <row r="25" spans="1:14" ht="12.75">
      <c r="A25" s="131"/>
      <c r="B25" s="132"/>
      <c r="C25" s="133" t="s">
        <v>283</v>
      </c>
      <c r="D25" s="134" t="s">
        <v>537</v>
      </c>
      <c r="E25" s="132"/>
      <c r="F25" s="135">
        <v>31.095</v>
      </c>
      <c r="G25" s="173"/>
      <c r="H25" s="132"/>
      <c r="I25" s="132"/>
      <c r="J25" s="132"/>
      <c r="K25" s="132"/>
      <c r="L25" s="132"/>
      <c r="M25" s="136"/>
      <c r="N25" s="1"/>
    </row>
    <row r="26" spans="1:64" ht="12.75">
      <c r="A26" s="126" t="s">
        <v>12</v>
      </c>
      <c r="B26" s="127" t="s">
        <v>141</v>
      </c>
      <c r="C26" s="242" t="s">
        <v>284</v>
      </c>
      <c r="D26" s="243"/>
      <c r="E26" s="127" t="s">
        <v>566</v>
      </c>
      <c r="F26" s="128">
        <v>119.904</v>
      </c>
      <c r="G26" s="174"/>
      <c r="H26" s="129">
        <f>F26*AO26</f>
        <v>0</v>
      </c>
      <c r="I26" s="129">
        <f>F26*AP26</f>
        <v>0</v>
      </c>
      <c r="J26" s="129">
        <f>F26*G26</f>
        <v>0</v>
      </c>
      <c r="K26" s="129">
        <v>0.808</v>
      </c>
      <c r="L26" s="129">
        <f>F26*K26</f>
        <v>96.88243200000001</v>
      </c>
      <c r="M26" s="130" t="s">
        <v>593</v>
      </c>
      <c r="N26" s="1"/>
      <c r="Z26" s="11">
        <f>IF(AQ26="5",BJ26,0)</f>
        <v>0</v>
      </c>
      <c r="AB26" s="11">
        <f>IF(AQ26="1",BH26,0)</f>
        <v>0</v>
      </c>
      <c r="AC26" s="11">
        <f>IF(AQ26="1",BI26,0)</f>
        <v>0</v>
      </c>
      <c r="AD26" s="11">
        <f>IF(AQ26="7",BH26,0)</f>
        <v>0</v>
      </c>
      <c r="AE26" s="11">
        <f>IF(AQ26="7",BI26,0)</f>
        <v>0</v>
      </c>
      <c r="AF26" s="11">
        <f>IF(AQ26="2",BH26,0)</f>
        <v>0</v>
      </c>
      <c r="AG26" s="11">
        <f>IF(AQ26="2",BI26,0)</f>
        <v>0</v>
      </c>
      <c r="AH26" s="11">
        <f>IF(AQ26="0",BJ26,0)</f>
        <v>0</v>
      </c>
      <c r="AI26" s="8"/>
      <c r="AJ26" s="6">
        <f>IF(AN26=0,J26,0)</f>
        <v>0</v>
      </c>
      <c r="AK26" s="6">
        <f>IF(AN26=15,J26,0)</f>
        <v>0</v>
      </c>
      <c r="AL26" s="6">
        <f>IF(AN26=21,J26,0)</f>
        <v>0</v>
      </c>
      <c r="AN26" s="11">
        <v>21</v>
      </c>
      <c r="AO26" s="11">
        <f>G26*0.808525482386212</f>
        <v>0</v>
      </c>
      <c r="AP26" s="11">
        <f>G26*(1-0.808525482386212)</f>
        <v>0</v>
      </c>
      <c r="AQ26" s="12" t="s">
        <v>7</v>
      </c>
      <c r="AV26" s="11">
        <f>AW26+AX26</f>
        <v>0</v>
      </c>
      <c r="AW26" s="11">
        <f>F26*AO26</f>
        <v>0</v>
      </c>
      <c r="AX26" s="11">
        <f>F26*AP26</f>
        <v>0</v>
      </c>
      <c r="AY26" s="14" t="s">
        <v>606</v>
      </c>
      <c r="AZ26" s="14" t="s">
        <v>623</v>
      </c>
      <c r="BA26" s="8" t="s">
        <v>629</v>
      </c>
      <c r="BC26" s="11">
        <f>AW26+AX26</f>
        <v>0</v>
      </c>
      <c r="BD26" s="11">
        <f>G26/(100-BE26)*100</f>
        <v>0</v>
      </c>
      <c r="BE26" s="11">
        <v>0</v>
      </c>
      <c r="BF26" s="11">
        <f>L26</f>
        <v>96.88243200000001</v>
      </c>
      <c r="BH26" s="6">
        <f>F26*AO26</f>
        <v>0</v>
      </c>
      <c r="BI26" s="6">
        <f>F26*AP26</f>
        <v>0</v>
      </c>
      <c r="BJ26" s="6">
        <f>F26*G26</f>
        <v>0</v>
      </c>
      <c r="BK26" s="6" t="s">
        <v>634</v>
      </c>
      <c r="BL26" s="11">
        <v>63</v>
      </c>
    </row>
    <row r="27" spans="1:14" ht="12.75">
      <c r="A27" s="131"/>
      <c r="B27" s="132"/>
      <c r="C27" s="133" t="s">
        <v>285</v>
      </c>
      <c r="D27" s="134" t="s">
        <v>538</v>
      </c>
      <c r="E27" s="132"/>
      <c r="F27" s="135">
        <v>38.28</v>
      </c>
      <c r="G27" s="173"/>
      <c r="H27" s="132"/>
      <c r="I27" s="132"/>
      <c r="J27" s="132"/>
      <c r="K27" s="132"/>
      <c r="L27" s="132"/>
      <c r="M27" s="136"/>
      <c r="N27" s="1"/>
    </row>
    <row r="28" spans="1:14" ht="12.75">
      <c r="A28" s="131"/>
      <c r="B28" s="132"/>
      <c r="C28" s="133" t="s">
        <v>286</v>
      </c>
      <c r="D28" s="134" t="s">
        <v>539</v>
      </c>
      <c r="E28" s="132"/>
      <c r="F28" s="135">
        <v>46.18</v>
      </c>
      <c r="G28" s="173"/>
      <c r="H28" s="132"/>
      <c r="I28" s="132"/>
      <c r="J28" s="132"/>
      <c r="K28" s="132"/>
      <c r="L28" s="132"/>
      <c r="M28" s="136"/>
      <c r="N28" s="1"/>
    </row>
    <row r="29" spans="1:14" ht="12.75">
      <c r="A29" s="131"/>
      <c r="B29" s="132"/>
      <c r="C29" s="133" t="s">
        <v>287</v>
      </c>
      <c r="D29" s="134" t="s">
        <v>540</v>
      </c>
      <c r="E29" s="132"/>
      <c r="F29" s="135">
        <v>35.444</v>
      </c>
      <c r="G29" s="173"/>
      <c r="H29" s="132"/>
      <c r="I29" s="132"/>
      <c r="J29" s="132"/>
      <c r="K29" s="132"/>
      <c r="L29" s="132"/>
      <c r="M29" s="136"/>
      <c r="N29" s="1"/>
    </row>
    <row r="30" spans="1:14" ht="12.75">
      <c r="A30" s="131"/>
      <c r="B30" s="144" t="s">
        <v>132</v>
      </c>
      <c r="C30" s="258" t="s">
        <v>288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60"/>
      <c r="N30" s="1"/>
    </row>
    <row r="31" spans="1:64" ht="12.75">
      <c r="A31" s="126" t="s">
        <v>13</v>
      </c>
      <c r="B31" s="127" t="s">
        <v>142</v>
      </c>
      <c r="C31" s="242" t="s">
        <v>289</v>
      </c>
      <c r="D31" s="243"/>
      <c r="E31" s="127" t="s">
        <v>565</v>
      </c>
      <c r="F31" s="128">
        <v>1121.2</v>
      </c>
      <c r="G31" s="174"/>
      <c r="H31" s="129">
        <f>F31*AO31</f>
        <v>0</v>
      </c>
      <c r="I31" s="129">
        <f>F31*AP31</f>
        <v>0</v>
      </c>
      <c r="J31" s="129">
        <f>F31*G31</f>
        <v>0</v>
      </c>
      <c r="K31" s="129">
        <v>0.00131</v>
      </c>
      <c r="L31" s="129">
        <f>F31*K31</f>
        <v>1.468772</v>
      </c>
      <c r="M31" s="130" t="s">
        <v>593</v>
      </c>
      <c r="N31" s="1"/>
      <c r="Z31" s="11">
        <f>IF(AQ31="5",BJ31,0)</f>
        <v>0</v>
      </c>
      <c r="AB31" s="11">
        <f>IF(AQ31="1",BH31,0)</f>
        <v>0</v>
      </c>
      <c r="AC31" s="11">
        <f>IF(AQ31="1",BI31,0)</f>
        <v>0</v>
      </c>
      <c r="AD31" s="11">
        <f>IF(AQ31="7",BH31,0)</f>
        <v>0</v>
      </c>
      <c r="AE31" s="11">
        <f>IF(AQ31="7",BI31,0)</f>
        <v>0</v>
      </c>
      <c r="AF31" s="11">
        <f>IF(AQ31="2",BH31,0)</f>
        <v>0</v>
      </c>
      <c r="AG31" s="11">
        <f>IF(AQ31="2",BI31,0)</f>
        <v>0</v>
      </c>
      <c r="AH31" s="11">
        <f>IF(AQ31="0",BJ31,0)</f>
        <v>0</v>
      </c>
      <c r="AI31" s="8"/>
      <c r="AJ31" s="6">
        <f>IF(AN31=0,J31,0)</f>
        <v>0</v>
      </c>
      <c r="AK31" s="6">
        <f>IF(AN31=15,J31,0)</f>
        <v>0</v>
      </c>
      <c r="AL31" s="6">
        <f>IF(AN31=21,J31,0)</f>
        <v>0</v>
      </c>
      <c r="AN31" s="11">
        <v>21</v>
      </c>
      <c r="AO31" s="11">
        <f>G31*0.729464751958225</f>
        <v>0</v>
      </c>
      <c r="AP31" s="11">
        <f>G31*(1-0.729464751958225)</f>
        <v>0</v>
      </c>
      <c r="AQ31" s="12" t="s">
        <v>7</v>
      </c>
      <c r="AV31" s="11">
        <f>AW31+AX31</f>
        <v>0</v>
      </c>
      <c r="AW31" s="11">
        <f>F31*AO31</f>
        <v>0</v>
      </c>
      <c r="AX31" s="11">
        <f>F31*AP31</f>
        <v>0</v>
      </c>
      <c r="AY31" s="14" t="s">
        <v>606</v>
      </c>
      <c r="AZ31" s="14" t="s">
        <v>623</v>
      </c>
      <c r="BA31" s="8" t="s">
        <v>629</v>
      </c>
      <c r="BC31" s="11">
        <f>AW31+AX31</f>
        <v>0</v>
      </c>
      <c r="BD31" s="11">
        <f>G31/(100-BE31)*100</f>
        <v>0</v>
      </c>
      <c r="BE31" s="11">
        <v>0</v>
      </c>
      <c r="BF31" s="11">
        <f>L31</f>
        <v>1.468772</v>
      </c>
      <c r="BH31" s="6">
        <f>F31*AO31</f>
        <v>0</v>
      </c>
      <c r="BI31" s="6">
        <f>F31*AP31</f>
        <v>0</v>
      </c>
      <c r="BJ31" s="6">
        <f>F31*G31</f>
        <v>0</v>
      </c>
      <c r="BK31" s="6" t="s">
        <v>634</v>
      </c>
      <c r="BL31" s="11">
        <v>63</v>
      </c>
    </row>
    <row r="32" spans="1:14" ht="12.75">
      <c r="A32" s="131"/>
      <c r="B32" s="143" t="s">
        <v>137</v>
      </c>
      <c r="C32" s="250" t="s">
        <v>290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N32" s="1"/>
    </row>
    <row r="33" spans="1:14" ht="12.75">
      <c r="A33" s="131"/>
      <c r="B33" s="132"/>
      <c r="C33" s="133" t="s">
        <v>291</v>
      </c>
      <c r="D33" s="134" t="s">
        <v>541</v>
      </c>
      <c r="E33" s="132"/>
      <c r="F33" s="135">
        <v>1121.2</v>
      </c>
      <c r="G33" s="173"/>
      <c r="H33" s="132"/>
      <c r="I33" s="132"/>
      <c r="J33" s="132"/>
      <c r="K33" s="132"/>
      <c r="L33" s="132"/>
      <c r="M33" s="136"/>
      <c r="N33" s="1"/>
    </row>
    <row r="34" spans="1:64" ht="12.75">
      <c r="A34" s="145" t="s">
        <v>14</v>
      </c>
      <c r="B34" s="146" t="s">
        <v>143</v>
      </c>
      <c r="C34" s="253" t="s">
        <v>292</v>
      </c>
      <c r="D34" s="254"/>
      <c r="E34" s="146" t="s">
        <v>565</v>
      </c>
      <c r="F34" s="147">
        <v>1233.32</v>
      </c>
      <c r="G34" s="172"/>
      <c r="H34" s="148">
        <f>F34*AO34</f>
        <v>0</v>
      </c>
      <c r="I34" s="148">
        <f>F34*AP34</f>
        <v>0</v>
      </c>
      <c r="J34" s="148">
        <f>F34*G34</f>
        <v>0</v>
      </c>
      <c r="K34" s="148">
        <v>0.08</v>
      </c>
      <c r="L34" s="148">
        <f>F34*K34</f>
        <v>98.6656</v>
      </c>
      <c r="M34" s="149" t="s">
        <v>593</v>
      </c>
      <c r="N34" s="1"/>
      <c r="Z34" s="11">
        <f>IF(AQ34="5",BJ34,0)</f>
        <v>0</v>
      </c>
      <c r="AB34" s="11">
        <f>IF(AQ34="1",BH34,0)</f>
        <v>0</v>
      </c>
      <c r="AC34" s="11">
        <f>IF(AQ34="1",BI34,0)</f>
        <v>0</v>
      </c>
      <c r="AD34" s="11">
        <f>IF(AQ34="7",BH34,0)</f>
        <v>0</v>
      </c>
      <c r="AE34" s="11">
        <f>IF(AQ34="7",BI34,0)</f>
        <v>0</v>
      </c>
      <c r="AF34" s="11">
        <f>IF(AQ34="2",BH34,0)</f>
        <v>0</v>
      </c>
      <c r="AG34" s="11">
        <f>IF(AQ34="2",BI34,0)</f>
        <v>0</v>
      </c>
      <c r="AH34" s="11">
        <f>IF(AQ34="0",BJ34,0)</f>
        <v>0</v>
      </c>
      <c r="AI34" s="8"/>
      <c r="AJ34" s="7">
        <f>IF(AN34=0,J34,0)</f>
        <v>0</v>
      </c>
      <c r="AK34" s="7">
        <f>IF(AN34=15,J34,0)</f>
        <v>0</v>
      </c>
      <c r="AL34" s="7">
        <f>IF(AN34=21,J34,0)</f>
        <v>0</v>
      </c>
      <c r="AN34" s="11">
        <v>21</v>
      </c>
      <c r="AO34" s="11">
        <f>G34*1</f>
        <v>0</v>
      </c>
      <c r="AP34" s="11">
        <f>G34*(1-1)</f>
        <v>0</v>
      </c>
      <c r="AQ34" s="13" t="s">
        <v>7</v>
      </c>
      <c r="AV34" s="11">
        <f>AW34+AX34</f>
        <v>0</v>
      </c>
      <c r="AW34" s="11">
        <f>F34*AO34</f>
        <v>0</v>
      </c>
      <c r="AX34" s="11">
        <f>F34*AP34</f>
        <v>0</v>
      </c>
      <c r="AY34" s="14" t="s">
        <v>606</v>
      </c>
      <c r="AZ34" s="14" t="s">
        <v>623</v>
      </c>
      <c r="BA34" s="8" t="s">
        <v>629</v>
      </c>
      <c r="BC34" s="11">
        <f>AW34+AX34</f>
        <v>0</v>
      </c>
      <c r="BD34" s="11">
        <f>G34/(100-BE34)*100</f>
        <v>0</v>
      </c>
      <c r="BE34" s="11">
        <v>0</v>
      </c>
      <c r="BF34" s="11">
        <f>L34</f>
        <v>98.6656</v>
      </c>
      <c r="BH34" s="7">
        <f>F34*AO34</f>
        <v>0</v>
      </c>
      <c r="BI34" s="7">
        <f>F34*AP34</f>
        <v>0</v>
      </c>
      <c r="BJ34" s="7">
        <f>F34*G34</f>
        <v>0</v>
      </c>
      <c r="BK34" s="7" t="s">
        <v>635</v>
      </c>
      <c r="BL34" s="11">
        <v>63</v>
      </c>
    </row>
    <row r="35" spans="1:14" ht="12.75">
      <c r="A35" s="131"/>
      <c r="B35" s="132"/>
      <c r="C35" s="133" t="s">
        <v>293</v>
      </c>
      <c r="D35" s="134"/>
      <c r="E35" s="132"/>
      <c r="F35" s="135">
        <v>1121.2</v>
      </c>
      <c r="G35" s="173"/>
      <c r="H35" s="132"/>
      <c r="I35" s="132"/>
      <c r="J35" s="132"/>
      <c r="K35" s="132"/>
      <c r="L35" s="132"/>
      <c r="M35" s="136"/>
      <c r="N35" s="1"/>
    </row>
    <row r="36" spans="1:14" ht="12.75">
      <c r="A36" s="131"/>
      <c r="B36" s="132"/>
      <c r="C36" s="133" t="s">
        <v>294</v>
      </c>
      <c r="D36" s="134"/>
      <c r="E36" s="132"/>
      <c r="F36" s="135">
        <v>112.12</v>
      </c>
      <c r="G36" s="173"/>
      <c r="H36" s="132"/>
      <c r="I36" s="132"/>
      <c r="J36" s="132"/>
      <c r="K36" s="132"/>
      <c r="L36" s="132"/>
      <c r="M36" s="136"/>
      <c r="N36" s="1"/>
    </row>
    <row r="37" spans="1:64" ht="12.75">
      <c r="A37" s="145" t="s">
        <v>15</v>
      </c>
      <c r="B37" s="146" t="s">
        <v>144</v>
      </c>
      <c r="C37" s="253" t="s">
        <v>295</v>
      </c>
      <c r="D37" s="254"/>
      <c r="E37" s="146" t="s">
        <v>564</v>
      </c>
      <c r="F37" s="147">
        <v>8</v>
      </c>
      <c r="G37" s="172"/>
      <c r="H37" s="148">
        <f>F37*AO37</f>
        <v>0</v>
      </c>
      <c r="I37" s="148">
        <f>F37*AP37</f>
        <v>0</v>
      </c>
      <c r="J37" s="148">
        <f>F37*G37</f>
        <v>0</v>
      </c>
      <c r="K37" s="148">
        <v>0.0151</v>
      </c>
      <c r="L37" s="148">
        <f>F37*K37</f>
        <v>0.1208</v>
      </c>
      <c r="M37" s="149" t="s">
        <v>593</v>
      </c>
      <c r="N37" s="1"/>
      <c r="Z37" s="11">
        <f>IF(AQ37="5",BJ37,0)</f>
        <v>0</v>
      </c>
      <c r="AB37" s="11">
        <f>IF(AQ37="1",BH37,0)</f>
        <v>0</v>
      </c>
      <c r="AC37" s="11">
        <f>IF(AQ37="1",BI37,0)</f>
        <v>0</v>
      </c>
      <c r="AD37" s="11">
        <f>IF(AQ37="7",BH37,0)</f>
        <v>0</v>
      </c>
      <c r="AE37" s="11">
        <f>IF(AQ37="7",BI37,0)</f>
        <v>0</v>
      </c>
      <c r="AF37" s="11">
        <f>IF(AQ37="2",BH37,0)</f>
        <v>0</v>
      </c>
      <c r="AG37" s="11">
        <f>IF(AQ37="2",BI37,0)</f>
        <v>0</v>
      </c>
      <c r="AH37" s="11">
        <f>IF(AQ37="0",BJ37,0)</f>
        <v>0</v>
      </c>
      <c r="AI37" s="8"/>
      <c r="AJ37" s="7">
        <f>IF(AN37=0,J37,0)</f>
        <v>0</v>
      </c>
      <c r="AK37" s="7">
        <f>IF(AN37=15,J37,0)</f>
        <v>0</v>
      </c>
      <c r="AL37" s="7">
        <f>IF(AN37=21,J37,0)</f>
        <v>0</v>
      </c>
      <c r="AN37" s="11">
        <v>21</v>
      </c>
      <c r="AO37" s="11">
        <f>G37*1</f>
        <v>0</v>
      </c>
      <c r="AP37" s="11">
        <f>G37*(1-1)</f>
        <v>0</v>
      </c>
      <c r="AQ37" s="13" t="s">
        <v>7</v>
      </c>
      <c r="AV37" s="11">
        <f>AW37+AX37</f>
        <v>0</v>
      </c>
      <c r="AW37" s="11">
        <f>F37*AO37</f>
        <v>0</v>
      </c>
      <c r="AX37" s="11">
        <f>F37*AP37</f>
        <v>0</v>
      </c>
      <c r="AY37" s="14" t="s">
        <v>606</v>
      </c>
      <c r="AZ37" s="14" t="s">
        <v>623</v>
      </c>
      <c r="BA37" s="8" t="s">
        <v>629</v>
      </c>
      <c r="BC37" s="11">
        <f>AW37+AX37</f>
        <v>0</v>
      </c>
      <c r="BD37" s="11">
        <f>G37/(100-BE37)*100</f>
        <v>0</v>
      </c>
      <c r="BE37" s="11">
        <v>0</v>
      </c>
      <c r="BF37" s="11">
        <f>L37</f>
        <v>0.1208</v>
      </c>
      <c r="BH37" s="7">
        <f>F37*AO37</f>
        <v>0</v>
      </c>
      <c r="BI37" s="7">
        <f>F37*AP37</f>
        <v>0</v>
      </c>
      <c r="BJ37" s="7">
        <f>F37*G37</f>
        <v>0</v>
      </c>
      <c r="BK37" s="7" t="s">
        <v>635</v>
      </c>
      <c r="BL37" s="11">
        <v>63</v>
      </c>
    </row>
    <row r="38" spans="1:14" ht="12.75">
      <c r="A38" s="131"/>
      <c r="B38" s="132"/>
      <c r="C38" s="133" t="s">
        <v>14</v>
      </c>
      <c r="D38" s="134"/>
      <c r="E38" s="132"/>
      <c r="F38" s="135">
        <v>8</v>
      </c>
      <c r="G38" s="173"/>
      <c r="H38" s="132"/>
      <c r="I38" s="132"/>
      <c r="J38" s="132"/>
      <c r="K38" s="132"/>
      <c r="L38" s="132"/>
      <c r="M38" s="136"/>
      <c r="N38" s="1"/>
    </row>
    <row r="39" spans="1:47" ht="12.75">
      <c r="A39" s="137"/>
      <c r="B39" s="138" t="s">
        <v>145</v>
      </c>
      <c r="C39" s="244" t="s">
        <v>296</v>
      </c>
      <c r="D39" s="245"/>
      <c r="E39" s="139" t="s">
        <v>6</v>
      </c>
      <c r="F39" s="139" t="s">
        <v>6</v>
      </c>
      <c r="G39" s="139" t="s">
        <v>6</v>
      </c>
      <c r="H39" s="140">
        <f>SUM(H40:H66)</f>
        <v>0</v>
      </c>
      <c r="I39" s="140">
        <f>SUM(I40:I66)</f>
        <v>0</v>
      </c>
      <c r="J39" s="140">
        <f>SUM(J40:J66)</f>
        <v>0</v>
      </c>
      <c r="K39" s="141"/>
      <c r="L39" s="140">
        <f>SUM(L40:L66)</f>
        <v>48.9189116</v>
      </c>
      <c r="M39" s="142"/>
      <c r="N39" s="1"/>
      <c r="AI39" s="8"/>
      <c r="AS39" s="16">
        <f>SUM(AJ40:AJ66)</f>
        <v>0</v>
      </c>
      <c r="AT39" s="16">
        <f>SUM(AK40:AK66)</f>
        <v>0</v>
      </c>
      <c r="AU39" s="16">
        <f>SUM(AL40:AL66)</f>
        <v>0</v>
      </c>
    </row>
    <row r="40" spans="1:64" ht="12.75">
      <c r="A40" s="126" t="s">
        <v>16</v>
      </c>
      <c r="B40" s="127" t="s">
        <v>146</v>
      </c>
      <c r="C40" s="242" t="s">
        <v>297</v>
      </c>
      <c r="D40" s="243"/>
      <c r="E40" s="127" t="s">
        <v>565</v>
      </c>
      <c r="F40" s="128">
        <v>2560.47</v>
      </c>
      <c r="G40" s="174"/>
      <c r="H40" s="129">
        <f>F40*AO40</f>
        <v>0</v>
      </c>
      <c r="I40" s="129">
        <f>F40*AP40</f>
        <v>0</v>
      </c>
      <c r="J40" s="129">
        <f>F40*G40</f>
        <v>0</v>
      </c>
      <c r="K40" s="129">
        <v>0.014</v>
      </c>
      <c r="L40" s="129">
        <f>F40*K40</f>
        <v>35.846579999999996</v>
      </c>
      <c r="M40" s="130" t="s">
        <v>593</v>
      </c>
      <c r="N40" s="1"/>
      <c r="Z40" s="11">
        <f>IF(AQ40="5",BJ40,0)</f>
        <v>0</v>
      </c>
      <c r="AB40" s="11">
        <f>IF(AQ40="1",BH40,0)</f>
        <v>0</v>
      </c>
      <c r="AC40" s="11">
        <f>IF(AQ40="1",BI40,0)</f>
        <v>0</v>
      </c>
      <c r="AD40" s="11">
        <f>IF(AQ40="7",BH40,0)</f>
        <v>0</v>
      </c>
      <c r="AE40" s="11">
        <f>IF(AQ40="7",BI40,0)</f>
        <v>0</v>
      </c>
      <c r="AF40" s="11">
        <f>IF(AQ40="2",BH40,0)</f>
        <v>0</v>
      </c>
      <c r="AG40" s="11">
        <f>IF(AQ40="2",BI40,0)</f>
        <v>0</v>
      </c>
      <c r="AH40" s="11">
        <f>IF(AQ40="0",BJ40,0)</f>
        <v>0</v>
      </c>
      <c r="AI40" s="8"/>
      <c r="AJ40" s="6">
        <f>IF(AN40=0,J40,0)</f>
        <v>0</v>
      </c>
      <c r="AK40" s="6">
        <f>IF(AN40=15,J40,0)</f>
        <v>0</v>
      </c>
      <c r="AL40" s="6">
        <f>IF(AN40=21,J40,0)</f>
        <v>0</v>
      </c>
      <c r="AN40" s="11">
        <v>21</v>
      </c>
      <c r="AO40" s="11">
        <f>G40*0</f>
        <v>0</v>
      </c>
      <c r="AP40" s="11">
        <f>G40*(1-0)</f>
        <v>0</v>
      </c>
      <c r="AQ40" s="12" t="s">
        <v>13</v>
      </c>
      <c r="AV40" s="11">
        <f>AW40+AX40</f>
        <v>0</v>
      </c>
      <c r="AW40" s="11">
        <f>F40*AO40</f>
        <v>0</v>
      </c>
      <c r="AX40" s="11">
        <f>F40*AP40</f>
        <v>0</v>
      </c>
      <c r="AY40" s="14" t="s">
        <v>607</v>
      </c>
      <c r="AZ40" s="14" t="s">
        <v>624</v>
      </c>
      <c r="BA40" s="8" t="s">
        <v>629</v>
      </c>
      <c r="BC40" s="11">
        <f>AW40+AX40</f>
        <v>0</v>
      </c>
      <c r="BD40" s="11">
        <f>G40/(100-BE40)*100</f>
        <v>0</v>
      </c>
      <c r="BE40" s="11">
        <v>0</v>
      </c>
      <c r="BF40" s="11">
        <f>L40</f>
        <v>35.846579999999996</v>
      </c>
      <c r="BH40" s="6">
        <f>F40*AO40</f>
        <v>0</v>
      </c>
      <c r="BI40" s="6">
        <f>F40*AP40</f>
        <v>0</v>
      </c>
      <c r="BJ40" s="6">
        <f>F40*G40</f>
        <v>0</v>
      </c>
      <c r="BK40" s="6" t="s">
        <v>634</v>
      </c>
      <c r="BL40" s="11">
        <v>712</v>
      </c>
    </row>
    <row r="41" spans="1:14" ht="12.75">
      <c r="A41" s="131"/>
      <c r="B41" s="132"/>
      <c r="C41" s="133" t="s">
        <v>298</v>
      </c>
      <c r="D41" s="134" t="s">
        <v>542</v>
      </c>
      <c r="E41" s="132"/>
      <c r="F41" s="135">
        <v>2249.52</v>
      </c>
      <c r="G41" s="173"/>
      <c r="H41" s="132"/>
      <c r="I41" s="132"/>
      <c r="J41" s="132"/>
      <c r="K41" s="132"/>
      <c r="L41" s="132"/>
      <c r="M41" s="136"/>
      <c r="N41" s="1"/>
    </row>
    <row r="42" spans="1:14" ht="12.75">
      <c r="A42" s="131"/>
      <c r="B42" s="132"/>
      <c r="C42" s="133" t="s">
        <v>279</v>
      </c>
      <c r="D42" s="134" t="s">
        <v>543</v>
      </c>
      <c r="E42" s="132"/>
      <c r="F42" s="135">
        <v>310.95</v>
      </c>
      <c r="G42" s="173"/>
      <c r="H42" s="132"/>
      <c r="I42" s="132"/>
      <c r="J42" s="132"/>
      <c r="K42" s="132"/>
      <c r="L42" s="132"/>
      <c r="M42" s="136"/>
      <c r="N42" s="1"/>
    </row>
    <row r="43" spans="1:64" ht="12.75">
      <c r="A43" s="126" t="s">
        <v>17</v>
      </c>
      <c r="B43" s="127" t="s">
        <v>147</v>
      </c>
      <c r="C43" s="242" t="s">
        <v>299</v>
      </c>
      <c r="D43" s="243"/>
      <c r="E43" s="127" t="s">
        <v>565</v>
      </c>
      <c r="F43" s="128">
        <v>1432.15</v>
      </c>
      <c r="G43" s="174"/>
      <c r="H43" s="129">
        <f>F43*AO43</f>
        <v>0</v>
      </c>
      <c r="I43" s="129">
        <f>F43*AP43</f>
        <v>0</v>
      </c>
      <c r="J43" s="129">
        <f>F43*G43</f>
        <v>0</v>
      </c>
      <c r="K43" s="129">
        <v>0.0002</v>
      </c>
      <c r="L43" s="129">
        <f>F43*K43</f>
        <v>0.28643</v>
      </c>
      <c r="M43" s="130" t="s">
        <v>593</v>
      </c>
      <c r="N43" s="1"/>
      <c r="Z43" s="11">
        <f>IF(AQ43="5",BJ43,0)</f>
        <v>0</v>
      </c>
      <c r="AB43" s="11">
        <f>IF(AQ43="1",BH43,0)</f>
        <v>0</v>
      </c>
      <c r="AC43" s="11">
        <f>IF(AQ43="1",BI43,0)</f>
        <v>0</v>
      </c>
      <c r="AD43" s="11">
        <f>IF(AQ43="7",BH43,0)</f>
        <v>0</v>
      </c>
      <c r="AE43" s="11">
        <f>IF(AQ43="7",BI43,0)</f>
        <v>0</v>
      </c>
      <c r="AF43" s="11">
        <f>IF(AQ43="2",BH43,0)</f>
        <v>0</v>
      </c>
      <c r="AG43" s="11">
        <f>IF(AQ43="2",BI43,0)</f>
        <v>0</v>
      </c>
      <c r="AH43" s="11">
        <f>IF(AQ43="0",BJ43,0)</f>
        <v>0</v>
      </c>
      <c r="AI43" s="8"/>
      <c r="AJ43" s="6">
        <f>IF(AN43=0,J43,0)</f>
        <v>0</v>
      </c>
      <c r="AK43" s="6">
        <f>IF(AN43=15,J43,0)</f>
        <v>0</v>
      </c>
      <c r="AL43" s="6">
        <f>IF(AN43=21,J43,0)</f>
        <v>0</v>
      </c>
      <c r="AN43" s="11">
        <v>21</v>
      </c>
      <c r="AO43" s="11">
        <f>G43*0.603571428571429</f>
        <v>0</v>
      </c>
      <c r="AP43" s="11">
        <f>G43*(1-0.603571428571429)</f>
        <v>0</v>
      </c>
      <c r="AQ43" s="12" t="s">
        <v>13</v>
      </c>
      <c r="AV43" s="11">
        <f>AW43+AX43</f>
        <v>0</v>
      </c>
      <c r="AW43" s="11">
        <f>F43*AO43</f>
        <v>0</v>
      </c>
      <c r="AX43" s="11">
        <f>F43*AP43</f>
        <v>0</v>
      </c>
      <c r="AY43" s="14" t="s">
        <v>607</v>
      </c>
      <c r="AZ43" s="14" t="s">
        <v>624</v>
      </c>
      <c r="BA43" s="8" t="s">
        <v>629</v>
      </c>
      <c r="BC43" s="11">
        <f>AW43+AX43</f>
        <v>0</v>
      </c>
      <c r="BD43" s="11">
        <f>G43/(100-BE43)*100</f>
        <v>0</v>
      </c>
      <c r="BE43" s="11">
        <v>0</v>
      </c>
      <c r="BF43" s="11">
        <f>L43</f>
        <v>0.28643</v>
      </c>
      <c r="BH43" s="6">
        <f>F43*AO43</f>
        <v>0</v>
      </c>
      <c r="BI43" s="6">
        <f>F43*AP43</f>
        <v>0</v>
      </c>
      <c r="BJ43" s="6">
        <f>F43*G43</f>
        <v>0</v>
      </c>
      <c r="BK43" s="6" t="s">
        <v>634</v>
      </c>
      <c r="BL43" s="11">
        <v>712</v>
      </c>
    </row>
    <row r="44" spans="1:14" ht="12.75">
      <c r="A44" s="131"/>
      <c r="B44" s="132"/>
      <c r="C44" s="133" t="s">
        <v>279</v>
      </c>
      <c r="D44" s="134" t="s">
        <v>543</v>
      </c>
      <c r="E44" s="132"/>
      <c r="F44" s="135">
        <v>310.95</v>
      </c>
      <c r="G44" s="173"/>
      <c r="H44" s="132"/>
      <c r="I44" s="132"/>
      <c r="J44" s="132"/>
      <c r="K44" s="132"/>
      <c r="L44" s="132"/>
      <c r="M44" s="136"/>
      <c r="N44" s="1"/>
    </row>
    <row r="45" spans="1:14" ht="12.75">
      <c r="A45" s="131"/>
      <c r="B45" s="132"/>
      <c r="C45" s="133" t="s">
        <v>291</v>
      </c>
      <c r="D45" s="134" t="s">
        <v>541</v>
      </c>
      <c r="E45" s="132"/>
      <c r="F45" s="135">
        <v>1121.2</v>
      </c>
      <c r="G45" s="173"/>
      <c r="H45" s="132"/>
      <c r="I45" s="132"/>
      <c r="J45" s="132"/>
      <c r="K45" s="132"/>
      <c r="L45" s="132"/>
      <c r="M45" s="136"/>
      <c r="N45" s="1"/>
    </row>
    <row r="46" spans="1:64" ht="12.75">
      <c r="A46" s="126" t="s">
        <v>18</v>
      </c>
      <c r="B46" s="127" t="s">
        <v>148</v>
      </c>
      <c r="C46" s="242" t="s">
        <v>300</v>
      </c>
      <c r="D46" s="243"/>
      <c r="E46" s="127" t="s">
        <v>565</v>
      </c>
      <c r="F46" s="128">
        <v>1438.87</v>
      </c>
      <c r="G46" s="174"/>
      <c r="H46" s="129">
        <f>F46*AO46</f>
        <v>0</v>
      </c>
      <c r="I46" s="129">
        <f>F46*AP46</f>
        <v>0</v>
      </c>
      <c r="J46" s="129">
        <f>F46*G46</f>
        <v>0</v>
      </c>
      <c r="K46" s="129">
        <v>0.00481</v>
      </c>
      <c r="L46" s="129">
        <f>F46*K46</f>
        <v>6.9209647</v>
      </c>
      <c r="M46" s="130" t="s">
        <v>593</v>
      </c>
      <c r="N46" s="1"/>
      <c r="Z46" s="11">
        <f>IF(AQ46="5",BJ46,0)</f>
        <v>0</v>
      </c>
      <c r="AB46" s="11">
        <f>IF(AQ46="1",BH46,0)</f>
        <v>0</v>
      </c>
      <c r="AC46" s="11">
        <f>IF(AQ46="1",BI46,0)</f>
        <v>0</v>
      </c>
      <c r="AD46" s="11">
        <f>IF(AQ46="7",BH46,0)</f>
        <v>0</v>
      </c>
      <c r="AE46" s="11">
        <f>IF(AQ46="7",BI46,0)</f>
        <v>0</v>
      </c>
      <c r="AF46" s="11">
        <f>IF(AQ46="2",BH46,0)</f>
        <v>0</v>
      </c>
      <c r="AG46" s="11">
        <f>IF(AQ46="2",BI46,0)</f>
        <v>0</v>
      </c>
      <c r="AH46" s="11">
        <f>IF(AQ46="0",BJ46,0)</f>
        <v>0</v>
      </c>
      <c r="AI46" s="8"/>
      <c r="AJ46" s="6">
        <f>IF(AN46=0,J46,0)</f>
        <v>0</v>
      </c>
      <c r="AK46" s="6">
        <f>IF(AN46=15,J46,0)</f>
        <v>0</v>
      </c>
      <c r="AL46" s="6">
        <f>IF(AN46=21,J46,0)</f>
        <v>0</v>
      </c>
      <c r="AN46" s="11">
        <v>21</v>
      </c>
      <c r="AO46" s="11">
        <f>G46*0.503367346938775</f>
        <v>0</v>
      </c>
      <c r="AP46" s="11">
        <f>G46*(1-0.503367346938775)</f>
        <v>0</v>
      </c>
      <c r="AQ46" s="12" t="s">
        <v>13</v>
      </c>
      <c r="AV46" s="11">
        <f>AW46+AX46</f>
        <v>0</v>
      </c>
      <c r="AW46" s="11">
        <f>F46*AO46</f>
        <v>0</v>
      </c>
      <c r="AX46" s="11">
        <f>F46*AP46</f>
        <v>0</v>
      </c>
      <c r="AY46" s="14" t="s">
        <v>607</v>
      </c>
      <c r="AZ46" s="14" t="s">
        <v>624</v>
      </c>
      <c r="BA46" s="8" t="s">
        <v>629</v>
      </c>
      <c r="BC46" s="11">
        <f>AW46+AX46</f>
        <v>0</v>
      </c>
      <c r="BD46" s="11">
        <f>G46/(100-BE46)*100</f>
        <v>0</v>
      </c>
      <c r="BE46" s="11">
        <v>0</v>
      </c>
      <c r="BF46" s="11">
        <f>L46</f>
        <v>6.9209647</v>
      </c>
      <c r="BH46" s="6">
        <f>F46*AO46</f>
        <v>0</v>
      </c>
      <c r="BI46" s="6">
        <f>F46*AP46</f>
        <v>0</v>
      </c>
      <c r="BJ46" s="6">
        <f>F46*G46</f>
        <v>0</v>
      </c>
      <c r="BK46" s="6" t="s">
        <v>634</v>
      </c>
      <c r="BL46" s="11">
        <v>712</v>
      </c>
    </row>
    <row r="47" spans="1:14" ht="12.75">
      <c r="A47" s="131"/>
      <c r="B47" s="132"/>
      <c r="C47" s="133" t="s">
        <v>301</v>
      </c>
      <c r="D47" s="134" t="s">
        <v>544</v>
      </c>
      <c r="E47" s="132"/>
      <c r="F47" s="135">
        <v>1438.87</v>
      </c>
      <c r="G47" s="173"/>
      <c r="H47" s="132"/>
      <c r="I47" s="132"/>
      <c r="J47" s="132"/>
      <c r="K47" s="132"/>
      <c r="L47" s="132"/>
      <c r="M47" s="136"/>
      <c r="N47" s="1"/>
    </row>
    <row r="48" spans="1:64" ht="12.75">
      <c r="A48" s="126" t="s">
        <v>19</v>
      </c>
      <c r="B48" s="127" t="s">
        <v>149</v>
      </c>
      <c r="C48" s="242" t="s">
        <v>300</v>
      </c>
      <c r="D48" s="243"/>
      <c r="E48" s="127" t="s">
        <v>565</v>
      </c>
      <c r="F48" s="128">
        <v>310.95</v>
      </c>
      <c r="G48" s="174"/>
      <c r="H48" s="129">
        <f>F48*AO48</f>
        <v>0</v>
      </c>
      <c r="I48" s="129">
        <f>F48*AP48</f>
        <v>0</v>
      </c>
      <c r="J48" s="129">
        <f>F48*G48</f>
        <v>0</v>
      </c>
      <c r="K48" s="129">
        <v>0.0053</v>
      </c>
      <c r="L48" s="129">
        <f>F48*K48</f>
        <v>1.648035</v>
      </c>
      <c r="M48" s="130" t="s">
        <v>593</v>
      </c>
      <c r="N48" s="1"/>
      <c r="Z48" s="11">
        <f>IF(AQ48="5",BJ48,0)</f>
        <v>0</v>
      </c>
      <c r="AB48" s="11">
        <f>IF(AQ48="1",BH48,0)</f>
        <v>0</v>
      </c>
      <c r="AC48" s="11">
        <f>IF(AQ48="1",BI48,0)</f>
        <v>0</v>
      </c>
      <c r="AD48" s="11">
        <f>IF(AQ48="7",BH48,0)</f>
        <v>0</v>
      </c>
      <c r="AE48" s="11">
        <f>IF(AQ48="7",BI48,0)</f>
        <v>0</v>
      </c>
      <c r="AF48" s="11">
        <f>IF(AQ48="2",BH48,0)</f>
        <v>0</v>
      </c>
      <c r="AG48" s="11">
        <f>IF(AQ48="2",BI48,0)</f>
        <v>0</v>
      </c>
      <c r="AH48" s="11">
        <f>IF(AQ48="0",BJ48,0)</f>
        <v>0</v>
      </c>
      <c r="AI48" s="8"/>
      <c r="AJ48" s="6">
        <f>IF(AN48=0,J48,0)</f>
        <v>0</v>
      </c>
      <c r="AK48" s="6">
        <f>IF(AN48=15,J48,0)</f>
        <v>0</v>
      </c>
      <c r="AL48" s="6">
        <f>IF(AN48=21,J48,0)</f>
        <v>0</v>
      </c>
      <c r="AN48" s="11">
        <v>21</v>
      </c>
      <c r="AO48" s="11">
        <f>G48*0.706807228915663</f>
        <v>0</v>
      </c>
      <c r="AP48" s="11">
        <f>G48*(1-0.706807228915663)</f>
        <v>0</v>
      </c>
      <c r="AQ48" s="12" t="s">
        <v>13</v>
      </c>
      <c r="AV48" s="11">
        <f>AW48+AX48</f>
        <v>0</v>
      </c>
      <c r="AW48" s="11">
        <f>F48*AO48</f>
        <v>0</v>
      </c>
      <c r="AX48" s="11">
        <f>F48*AP48</f>
        <v>0</v>
      </c>
      <c r="AY48" s="14" t="s">
        <v>607</v>
      </c>
      <c r="AZ48" s="14" t="s">
        <v>624</v>
      </c>
      <c r="BA48" s="8" t="s">
        <v>629</v>
      </c>
      <c r="BC48" s="11">
        <f>AW48+AX48</f>
        <v>0</v>
      </c>
      <c r="BD48" s="11">
        <f>G48/(100-BE48)*100</f>
        <v>0</v>
      </c>
      <c r="BE48" s="11">
        <v>0</v>
      </c>
      <c r="BF48" s="11">
        <f>L48</f>
        <v>1.648035</v>
      </c>
      <c r="BH48" s="6">
        <f>F48*AO48</f>
        <v>0</v>
      </c>
      <c r="BI48" s="6">
        <f>F48*AP48</f>
        <v>0</v>
      </c>
      <c r="BJ48" s="6">
        <f>F48*G48</f>
        <v>0</v>
      </c>
      <c r="BK48" s="6" t="s">
        <v>634</v>
      </c>
      <c r="BL48" s="11">
        <v>712</v>
      </c>
    </row>
    <row r="49" spans="1:14" ht="12.75">
      <c r="A49" s="131"/>
      <c r="B49" s="132"/>
      <c r="C49" s="133" t="s">
        <v>279</v>
      </c>
      <c r="D49" s="134" t="s">
        <v>543</v>
      </c>
      <c r="E49" s="132"/>
      <c r="F49" s="135">
        <v>310.95</v>
      </c>
      <c r="G49" s="173"/>
      <c r="H49" s="132"/>
      <c r="I49" s="132"/>
      <c r="J49" s="132"/>
      <c r="K49" s="132"/>
      <c r="L49" s="132"/>
      <c r="M49" s="136"/>
      <c r="N49" s="1"/>
    </row>
    <row r="50" spans="1:64" ht="12.75">
      <c r="A50" s="126" t="s">
        <v>20</v>
      </c>
      <c r="B50" s="127" t="s">
        <v>150</v>
      </c>
      <c r="C50" s="242" t="s">
        <v>302</v>
      </c>
      <c r="D50" s="243"/>
      <c r="E50" s="127" t="s">
        <v>565</v>
      </c>
      <c r="F50" s="128">
        <v>1121.2</v>
      </c>
      <c r="G50" s="174"/>
      <c r="H50" s="129">
        <f>F50*AO50</f>
        <v>0</v>
      </c>
      <c r="I50" s="129">
        <f>F50*AP50</f>
        <v>0</v>
      </c>
      <c r="J50" s="129">
        <f>F50*G50</f>
        <v>0</v>
      </c>
      <c r="K50" s="129">
        <v>0.00023</v>
      </c>
      <c r="L50" s="129">
        <f>F50*K50</f>
        <v>0.257876</v>
      </c>
      <c r="M50" s="130" t="s">
        <v>593</v>
      </c>
      <c r="N50" s="1"/>
      <c r="Z50" s="11">
        <f>IF(AQ50="5",BJ50,0)</f>
        <v>0</v>
      </c>
      <c r="AB50" s="11">
        <f>IF(AQ50="1",BH50,0)</f>
        <v>0</v>
      </c>
      <c r="AC50" s="11">
        <f>IF(AQ50="1",BI50,0)</f>
        <v>0</v>
      </c>
      <c r="AD50" s="11">
        <f>IF(AQ50="7",BH50,0)</f>
        <v>0</v>
      </c>
      <c r="AE50" s="11">
        <f>IF(AQ50="7",BI50,0)</f>
        <v>0</v>
      </c>
      <c r="AF50" s="11">
        <f>IF(AQ50="2",BH50,0)</f>
        <v>0</v>
      </c>
      <c r="AG50" s="11">
        <f>IF(AQ50="2",BI50,0)</f>
        <v>0</v>
      </c>
      <c r="AH50" s="11">
        <f>IF(AQ50="0",BJ50,0)</f>
        <v>0</v>
      </c>
      <c r="AI50" s="8"/>
      <c r="AJ50" s="6">
        <f>IF(AN50=0,J50,0)</f>
        <v>0</v>
      </c>
      <c r="AK50" s="6">
        <f>IF(AN50=15,J50,0)</f>
        <v>0</v>
      </c>
      <c r="AL50" s="6">
        <f>IF(AN50=21,J50,0)</f>
        <v>0</v>
      </c>
      <c r="AN50" s="11">
        <v>21</v>
      </c>
      <c r="AO50" s="11">
        <f>G50*0.334938221753552</f>
        <v>0</v>
      </c>
      <c r="AP50" s="11">
        <f>G50*(1-0.334938221753552)</f>
        <v>0</v>
      </c>
      <c r="AQ50" s="12" t="s">
        <v>13</v>
      </c>
      <c r="AV50" s="11">
        <f>AW50+AX50</f>
        <v>0</v>
      </c>
      <c r="AW50" s="11">
        <f>F50*AO50</f>
        <v>0</v>
      </c>
      <c r="AX50" s="11">
        <f>F50*AP50</f>
        <v>0</v>
      </c>
      <c r="AY50" s="14" t="s">
        <v>607</v>
      </c>
      <c r="AZ50" s="14" t="s">
        <v>624</v>
      </c>
      <c r="BA50" s="8" t="s">
        <v>629</v>
      </c>
      <c r="BC50" s="11">
        <f>AW50+AX50</f>
        <v>0</v>
      </c>
      <c r="BD50" s="11">
        <f>G50/(100-BE50)*100</f>
        <v>0</v>
      </c>
      <c r="BE50" s="11">
        <v>0</v>
      </c>
      <c r="BF50" s="11">
        <f>L50</f>
        <v>0.257876</v>
      </c>
      <c r="BH50" s="6">
        <f>F50*AO50</f>
        <v>0</v>
      </c>
      <c r="BI50" s="6">
        <f>F50*AP50</f>
        <v>0</v>
      </c>
      <c r="BJ50" s="6">
        <f>F50*G50</f>
        <v>0</v>
      </c>
      <c r="BK50" s="6" t="s">
        <v>634</v>
      </c>
      <c r="BL50" s="11">
        <v>712</v>
      </c>
    </row>
    <row r="51" spans="1:14" ht="12.75">
      <c r="A51" s="131"/>
      <c r="B51" s="132"/>
      <c r="C51" s="133" t="s">
        <v>293</v>
      </c>
      <c r="D51" s="134" t="s">
        <v>545</v>
      </c>
      <c r="E51" s="132"/>
      <c r="F51" s="135">
        <v>1121.2</v>
      </c>
      <c r="G51" s="173"/>
      <c r="H51" s="132"/>
      <c r="I51" s="132"/>
      <c r="J51" s="132"/>
      <c r="K51" s="132"/>
      <c r="L51" s="132"/>
      <c r="M51" s="136"/>
      <c r="N51" s="1"/>
    </row>
    <row r="52" spans="1:64" ht="12.75">
      <c r="A52" s="126" t="s">
        <v>21</v>
      </c>
      <c r="B52" s="127" t="s">
        <v>151</v>
      </c>
      <c r="C52" s="242" t="s">
        <v>303</v>
      </c>
      <c r="D52" s="243"/>
      <c r="E52" s="127" t="s">
        <v>565</v>
      </c>
      <c r="F52" s="128">
        <v>1125.68</v>
      </c>
      <c r="G52" s="174"/>
      <c r="H52" s="129">
        <f>F52*AO52</f>
        <v>0</v>
      </c>
      <c r="I52" s="129">
        <f>F52*AP52</f>
        <v>0</v>
      </c>
      <c r="J52" s="129">
        <f>F52*G52</f>
        <v>0</v>
      </c>
      <c r="K52" s="129">
        <v>0</v>
      </c>
      <c r="L52" s="129">
        <f>F52*K52</f>
        <v>0</v>
      </c>
      <c r="M52" s="130" t="s">
        <v>593</v>
      </c>
      <c r="N52" s="1"/>
      <c r="Z52" s="11">
        <f>IF(AQ52="5",BJ52,0)</f>
        <v>0</v>
      </c>
      <c r="AB52" s="11">
        <f>IF(AQ52="1",BH52,0)</f>
        <v>0</v>
      </c>
      <c r="AC52" s="11">
        <f>IF(AQ52="1",BI52,0)</f>
        <v>0</v>
      </c>
      <c r="AD52" s="11">
        <f>IF(AQ52="7",BH52,0)</f>
        <v>0</v>
      </c>
      <c r="AE52" s="11">
        <f>IF(AQ52="7",BI52,0)</f>
        <v>0</v>
      </c>
      <c r="AF52" s="11">
        <f>IF(AQ52="2",BH52,0)</f>
        <v>0</v>
      </c>
      <c r="AG52" s="11">
        <f>IF(AQ52="2",BI52,0)</f>
        <v>0</v>
      </c>
      <c r="AH52" s="11">
        <f>IF(AQ52="0",BJ52,0)</f>
        <v>0</v>
      </c>
      <c r="AI52" s="8"/>
      <c r="AJ52" s="6">
        <f>IF(AN52=0,J52,0)</f>
        <v>0</v>
      </c>
      <c r="AK52" s="6">
        <f>IF(AN52=15,J52,0)</f>
        <v>0</v>
      </c>
      <c r="AL52" s="6">
        <f>IF(AN52=21,J52,0)</f>
        <v>0</v>
      </c>
      <c r="AN52" s="11">
        <v>21</v>
      </c>
      <c r="AO52" s="11">
        <f>G52*0.157046651245263</f>
        <v>0</v>
      </c>
      <c r="AP52" s="11">
        <f>G52*(1-0.157046651245263)</f>
        <v>0</v>
      </c>
      <c r="AQ52" s="12" t="s">
        <v>13</v>
      </c>
      <c r="AV52" s="11">
        <f>AW52+AX52</f>
        <v>0</v>
      </c>
      <c r="AW52" s="11">
        <f>F52*AO52</f>
        <v>0</v>
      </c>
      <c r="AX52" s="11">
        <f>F52*AP52</f>
        <v>0</v>
      </c>
      <c r="AY52" s="14" t="s">
        <v>607</v>
      </c>
      <c r="AZ52" s="14" t="s">
        <v>624</v>
      </c>
      <c r="BA52" s="8" t="s">
        <v>629</v>
      </c>
      <c r="BC52" s="11">
        <f>AW52+AX52</f>
        <v>0</v>
      </c>
      <c r="BD52" s="11">
        <f>G52/(100-BE52)*100</f>
        <v>0</v>
      </c>
      <c r="BE52" s="11">
        <v>0</v>
      </c>
      <c r="BF52" s="11">
        <f>L52</f>
        <v>0</v>
      </c>
      <c r="BH52" s="6">
        <f>F52*AO52</f>
        <v>0</v>
      </c>
      <c r="BI52" s="6">
        <f>F52*AP52</f>
        <v>0</v>
      </c>
      <c r="BJ52" s="6">
        <f>F52*G52</f>
        <v>0</v>
      </c>
      <c r="BK52" s="6" t="s">
        <v>634</v>
      </c>
      <c r="BL52" s="11">
        <v>712</v>
      </c>
    </row>
    <row r="53" spans="1:14" ht="12.75">
      <c r="A53" s="131"/>
      <c r="B53" s="143" t="s">
        <v>137</v>
      </c>
      <c r="C53" s="250" t="s">
        <v>304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2"/>
      <c r="N53" s="1"/>
    </row>
    <row r="54" spans="1:14" ht="12.75">
      <c r="A54" s="131"/>
      <c r="B54" s="132"/>
      <c r="C54" s="133" t="s">
        <v>305</v>
      </c>
      <c r="D54" s="134" t="s">
        <v>545</v>
      </c>
      <c r="E54" s="132"/>
      <c r="F54" s="135">
        <v>1125.68</v>
      </c>
      <c r="G54" s="173"/>
      <c r="H54" s="132"/>
      <c r="I54" s="132"/>
      <c r="J54" s="132"/>
      <c r="K54" s="132"/>
      <c r="L54" s="132"/>
      <c r="M54" s="136"/>
      <c r="N54" s="1"/>
    </row>
    <row r="55" spans="1:64" ht="12.75">
      <c r="A55" s="145" t="s">
        <v>22</v>
      </c>
      <c r="B55" s="146" t="s">
        <v>152</v>
      </c>
      <c r="C55" s="253" t="s">
        <v>306</v>
      </c>
      <c r="D55" s="254"/>
      <c r="E55" s="146" t="s">
        <v>565</v>
      </c>
      <c r="F55" s="147">
        <v>1350.816</v>
      </c>
      <c r="G55" s="172"/>
      <c r="H55" s="148">
        <f>F55*AO55</f>
        <v>0</v>
      </c>
      <c r="I55" s="148">
        <f>F55*AP55</f>
        <v>0</v>
      </c>
      <c r="J55" s="148">
        <f>F55*G55</f>
        <v>0</v>
      </c>
      <c r="K55" s="148">
        <v>0.00195</v>
      </c>
      <c r="L55" s="148">
        <f>F55*K55</f>
        <v>2.6340912</v>
      </c>
      <c r="M55" s="149" t="s">
        <v>593</v>
      </c>
      <c r="N55" s="1"/>
      <c r="Z55" s="11">
        <f>IF(AQ55="5",BJ55,0)</f>
        <v>0</v>
      </c>
      <c r="AB55" s="11">
        <f>IF(AQ55="1",BH55,0)</f>
        <v>0</v>
      </c>
      <c r="AC55" s="11">
        <f>IF(AQ55="1",BI55,0)</f>
        <v>0</v>
      </c>
      <c r="AD55" s="11">
        <f>IF(AQ55="7",BH55,0)</f>
        <v>0</v>
      </c>
      <c r="AE55" s="11">
        <f>IF(AQ55="7",BI55,0)</f>
        <v>0</v>
      </c>
      <c r="AF55" s="11">
        <f>IF(AQ55="2",BH55,0)</f>
        <v>0</v>
      </c>
      <c r="AG55" s="11">
        <f>IF(AQ55="2",BI55,0)</f>
        <v>0</v>
      </c>
      <c r="AH55" s="11">
        <f>IF(AQ55="0",BJ55,0)</f>
        <v>0</v>
      </c>
      <c r="AI55" s="8"/>
      <c r="AJ55" s="7">
        <f>IF(AN55=0,J55,0)</f>
        <v>0</v>
      </c>
      <c r="AK55" s="7">
        <f>IF(AN55=15,J55,0)</f>
        <v>0</v>
      </c>
      <c r="AL55" s="7">
        <f>IF(AN55=21,J55,0)</f>
        <v>0</v>
      </c>
      <c r="AN55" s="11">
        <v>21</v>
      </c>
      <c r="AO55" s="11">
        <f>G55*1</f>
        <v>0</v>
      </c>
      <c r="AP55" s="11">
        <f>G55*(1-1)</f>
        <v>0</v>
      </c>
      <c r="AQ55" s="13" t="s">
        <v>13</v>
      </c>
      <c r="AV55" s="11">
        <f>AW55+AX55</f>
        <v>0</v>
      </c>
      <c r="AW55" s="11">
        <f>F55*AO55</f>
        <v>0</v>
      </c>
      <c r="AX55" s="11">
        <f>F55*AP55</f>
        <v>0</v>
      </c>
      <c r="AY55" s="14" t="s">
        <v>607</v>
      </c>
      <c r="AZ55" s="14" t="s">
        <v>624</v>
      </c>
      <c r="BA55" s="8" t="s">
        <v>629</v>
      </c>
      <c r="BC55" s="11">
        <f>AW55+AX55</f>
        <v>0</v>
      </c>
      <c r="BD55" s="11">
        <f>G55/(100-BE55)*100</f>
        <v>0</v>
      </c>
      <c r="BE55" s="11">
        <v>0</v>
      </c>
      <c r="BF55" s="11">
        <f>L55</f>
        <v>2.6340912</v>
      </c>
      <c r="BH55" s="7">
        <f>F55*AO55</f>
        <v>0</v>
      </c>
      <c r="BI55" s="7">
        <f>F55*AP55</f>
        <v>0</v>
      </c>
      <c r="BJ55" s="7">
        <f>F55*G55</f>
        <v>0</v>
      </c>
      <c r="BK55" s="7" t="s">
        <v>635</v>
      </c>
      <c r="BL55" s="11">
        <v>712</v>
      </c>
    </row>
    <row r="56" spans="1:14" ht="12.75">
      <c r="A56" s="131"/>
      <c r="B56" s="132"/>
      <c r="C56" s="133" t="s">
        <v>307</v>
      </c>
      <c r="D56" s="134"/>
      <c r="E56" s="132"/>
      <c r="F56" s="135">
        <v>1125.68</v>
      </c>
      <c r="G56" s="173"/>
      <c r="H56" s="132"/>
      <c r="I56" s="132"/>
      <c r="J56" s="132"/>
      <c r="K56" s="132"/>
      <c r="L56" s="132"/>
      <c r="M56" s="136"/>
      <c r="N56" s="1"/>
    </row>
    <row r="57" spans="1:14" ht="12.75">
      <c r="A57" s="131"/>
      <c r="B57" s="132"/>
      <c r="C57" s="133" t="s">
        <v>308</v>
      </c>
      <c r="D57" s="134"/>
      <c r="E57" s="132"/>
      <c r="F57" s="135">
        <v>225.136</v>
      </c>
      <c r="G57" s="173"/>
      <c r="H57" s="132"/>
      <c r="I57" s="132"/>
      <c r="J57" s="132"/>
      <c r="K57" s="132"/>
      <c r="L57" s="132"/>
      <c r="M57" s="136"/>
      <c r="N57" s="1"/>
    </row>
    <row r="58" spans="1:64" ht="12.75">
      <c r="A58" s="126" t="s">
        <v>23</v>
      </c>
      <c r="B58" s="127" t="s">
        <v>153</v>
      </c>
      <c r="C58" s="242" t="s">
        <v>309</v>
      </c>
      <c r="D58" s="243"/>
      <c r="E58" s="127" t="s">
        <v>567</v>
      </c>
      <c r="F58" s="128">
        <v>490</v>
      </c>
      <c r="G58" s="174"/>
      <c r="H58" s="129">
        <f>F58*AO58</f>
        <v>0</v>
      </c>
      <c r="I58" s="129">
        <f>F58*AP58</f>
        <v>0</v>
      </c>
      <c r="J58" s="129">
        <f>F58*G58</f>
        <v>0</v>
      </c>
      <c r="K58" s="129">
        <v>0.00152</v>
      </c>
      <c r="L58" s="129">
        <f>F58*K58</f>
        <v>0.7448</v>
      </c>
      <c r="M58" s="130" t="s">
        <v>593</v>
      </c>
      <c r="N58" s="1"/>
      <c r="Z58" s="11">
        <f>IF(AQ58="5",BJ58,0)</f>
        <v>0</v>
      </c>
      <c r="AB58" s="11">
        <f>IF(AQ58="1",BH58,0)</f>
        <v>0</v>
      </c>
      <c r="AC58" s="11">
        <f>IF(AQ58="1",BI58,0)</f>
        <v>0</v>
      </c>
      <c r="AD58" s="11">
        <f>IF(AQ58="7",BH58,0)</f>
        <v>0</v>
      </c>
      <c r="AE58" s="11">
        <f>IF(AQ58="7",BI58,0)</f>
        <v>0</v>
      </c>
      <c r="AF58" s="11">
        <f>IF(AQ58="2",BH58,0)</f>
        <v>0</v>
      </c>
      <c r="AG58" s="11">
        <f>IF(AQ58="2",BI58,0)</f>
        <v>0</v>
      </c>
      <c r="AH58" s="11">
        <f>IF(AQ58="0",BJ58,0)</f>
        <v>0</v>
      </c>
      <c r="AI58" s="8"/>
      <c r="AJ58" s="6">
        <f>IF(AN58=0,J58,0)</f>
        <v>0</v>
      </c>
      <c r="AK58" s="6">
        <f>IF(AN58=15,J58,0)</f>
        <v>0</v>
      </c>
      <c r="AL58" s="6">
        <f>IF(AN58=21,J58,0)</f>
        <v>0</v>
      </c>
      <c r="AN58" s="11">
        <v>21</v>
      </c>
      <c r="AO58" s="11">
        <f>G58*0.447547407774425</f>
        <v>0</v>
      </c>
      <c r="AP58" s="11">
        <f>G58*(1-0.447547407774425)</f>
        <v>0</v>
      </c>
      <c r="AQ58" s="12" t="s">
        <v>13</v>
      </c>
      <c r="AV58" s="11">
        <f>AW58+AX58</f>
        <v>0</v>
      </c>
      <c r="AW58" s="11">
        <f>F58*AO58</f>
        <v>0</v>
      </c>
      <c r="AX58" s="11">
        <f>F58*AP58</f>
        <v>0</v>
      </c>
      <c r="AY58" s="14" t="s">
        <v>607</v>
      </c>
      <c r="AZ58" s="14" t="s">
        <v>624</v>
      </c>
      <c r="BA58" s="8" t="s">
        <v>629</v>
      </c>
      <c r="BC58" s="11">
        <f>AW58+AX58</f>
        <v>0</v>
      </c>
      <c r="BD58" s="11">
        <f>G58/(100-BE58)*100</f>
        <v>0</v>
      </c>
      <c r="BE58" s="11">
        <v>0</v>
      </c>
      <c r="BF58" s="11">
        <f>L58</f>
        <v>0.7448</v>
      </c>
      <c r="BH58" s="6">
        <f>F58*AO58</f>
        <v>0</v>
      </c>
      <c r="BI58" s="6">
        <f>F58*AP58</f>
        <v>0</v>
      </c>
      <c r="BJ58" s="6">
        <f>F58*G58</f>
        <v>0</v>
      </c>
      <c r="BK58" s="6" t="s">
        <v>634</v>
      </c>
      <c r="BL58" s="11">
        <v>712</v>
      </c>
    </row>
    <row r="59" spans="1:14" ht="12.75">
      <c r="A59" s="131"/>
      <c r="B59" s="132"/>
      <c r="C59" s="133" t="s">
        <v>310</v>
      </c>
      <c r="D59" s="134"/>
      <c r="E59" s="132"/>
      <c r="F59" s="135">
        <v>490</v>
      </c>
      <c r="G59" s="173"/>
      <c r="H59" s="132"/>
      <c r="I59" s="132"/>
      <c r="J59" s="132"/>
      <c r="K59" s="132"/>
      <c r="L59" s="132"/>
      <c r="M59" s="136"/>
      <c r="N59" s="1"/>
    </row>
    <row r="60" spans="1:14" ht="12.75">
      <c r="A60" s="131"/>
      <c r="B60" s="150" t="s">
        <v>154</v>
      </c>
      <c r="C60" s="255" t="s">
        <v>311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7"/>
      <c r="N60" s="1"/>
    </row>
    <row r="61" spans="1:64" ht="12.75">
      <c r="A61" s="126" t="s">
        <v>24</v>
      </c>
      <c r="B61" s="127" t="s">
        <v>155</v>
      </c>
      <c r="C61" s="242" t="s">
        <v>312</v>
      </c>
      <c r="D61" s="243"/>
      <c r="E61" s="127" t="s">
        <v>565</v>
      </c>
      <c r="F61" s="128">
        <v>193.046</v>
      </c>
      <c r="G61" s="174"/>
      <c r="H61" s="129">
        <f>F61*AO61</f>
        <v>0</v>
      </c>
      <c r="I61" s="129">
        <f>F61*AP61</f>
        <v>0</v>
      </c>
      <c r="J61" s="129">
        <f>F61*G61</f>
        <v>0</v>
      </c>
      <c r="K61" s="129">
        <v>0.00295</v>
      </c>
      <c r="L61" s="129">
        <f>F61*K61</f>
        <v>0.5694857</v>
      </c>
      <c r="M61" s="130" t="s">
        <v>593</v>
      </c>
      <c r="N61" s="1"/>
      <c r="Z61" s="11">
        <f>IF(AQ61="5",BJ61,0)</f>
        <v>0</v>
      </c>
      <c r="AB61" s="11">
        <f>IF(AQ61="1",BH61,0)</f>
        <v>0</v>
      </c>
      <c r="AC61" s="11">
        <f>IF(AQ61="1",BI61,0)</f>
        <v>0</v>
      </c>
      <c r="AD61" s="11">
        <f>IF(AQ61="7",BH61,0)</f>
        <v>0</v>
      </c>
      <c r="AE61" s="11">
        <f>IF(AQ61="7",BI61,0)</f>
        <v>0</v>
      </c>
      <c r="AF61" s="11">
        <f>IF(AQ61="2",BH61,0)</f>
        <v>0</v>
      </c>
      <c r="AG61" s="11">
        <f>IF(AQ61="2",BI61,0)</f>
        <v>0</v>
      </c>
      <c r="AH61" s="11">
        <f>IF(AQ61="0",BJ61,0)</f>
        <v>0</v>
      </c>
      <c r="AI61" s="8"/>
      <c r="AJ61" s="6">
        <f>IF(AN61=0,J61,0)</f>
        <v>0</v>
      </c>
      <c r="AK61" s="6">
        <f>IF(AN61=15,J61,0)</f>
        <v>0</v>
      </c>
      <c r="AL61" s="6">
        <f>IF(AN61=21,J61,0)</f>
        <v>0</v>
      </c>
      <c r="AN61" s="11">
        <v>21</v>
      </c>
      <c r="AO61" s="11">
        <f>G61*0.714701974683996</f>
        <v>0</v>
      </c>
      <c r="AP61" s="11">
        <f>G61*(1-0.714701974683996)</f>
        <v>0</v>
      </c>
      <c r="AQ61" s="12" t="s">
        <v>13</v>
      </c>
      <c r="AV61" s="11">
        <f>AW61+AX61</f>
        <v>0</v>
      </c>
      <c r="AW61" s="11">
        <f>F61*AO61</f>
        <v>0</v>
      </c>
      <c r="AX61" s="11">
        <f>F61*AP61</f>
        <v>0</v>
      </c>
      <c r="AY61" s="14" t="s">
        <v>607</v>
      </c>
      <c r="AZ61" s="14" t="s">
        <v>624</v>
      </c>
      <c r="BA61" s="8" t="s">
        <v>629</v>
      </c>
      <c r="BC61" s="11">
        <f>AW61+AX61</f>
        <v>0</v>
      </c>
      <c r="BD61" s="11">
        <f>G61/(100-BE61)*100</f>
        <v>0</v>
      </c>
      <c r="BE61" s="11">
        <v>0</v>
      </c>
      <c r="BF61" s="11">
        <f>L61</f>
        <v>0.5694857</v>
      </c>
      <c r="BH61" s="6">
        <f>F61*AO61</f>
        <v>0</v>
      </c>
      <c r="BI61" s="6">
        <f>F61*AP61</f>
        <v>0</v>
      </c>
      <c r="BJ61" s="6">
        <f>F61*G61</f>
        <v>0</v>
      </c>
      <c r="BK61" s="6" t="s">
        <v>634</v>
      </c>
      <c r="BL61" s="11">
        <v>712</v>
      </c>
    </row>
    <row r="62" spans="1:14" ht="12.75">
      <c r="A62" s="131"/>
      <c r="B62" s="132"/>
      <c r="C62" s="133" t="s">
        <v>281</v>
      </c>
      <c r="D62" s="134" t="s">
        <v>536</v>
      </c>
      <c r="E62" s="132"/>
      <c r="F62" s="135">
        <v>193.046</v>
      </c>
      <c r="G62" s="173"/>
      <c r="H62" s="132"/>
      <c r="I62" s="132"/>
      <c r="J62" s="132"/>
      <c r="K62" s="132"/>
      <c r="L62" s="132"/>
      <c r="M62" s="136"/>
      <c r="N62" s="1"/>
    </row>
    <row r="63" spans="1:64" ht="12.75">
      <c r="A63" s="145" t="s">
        <v>25</v>
      </c>
      <c r="B63" s="146" t="s">
        <v>156</v>
      </c>
      <c r="C63" s="253" t="s">
        <v>313</v>
      </c>
      <c r="D63" s="254"/>
      <c r="E63" s="146" t="s">
        <v>564</v>
      </c>
      <c r="F63" s="147">
        <v>106.49</v>
      </c>
      <c r="G63" s="172"/>
      <c r="H63" s="148">
        <f>F63*AO63</f>
        <v>0</v>
      </c>
      <c r="I63" s="148">
        <f>F63*AP63</f>
        <v>0</v>
      </c>
      <c r="J63" s="148">
        <f>F63*G63</f>
        <v>0</v>
      </c>
      <c r="K63" s="148">
        <v>0.0001</v>
      </c>
      <c r="L63" s="148">
        <f>F63*K63</f>
        <v>0.010649</v>
      </c>
      <c r="M63" s="149" t="s">
        <v>593</v>
      </c>
      <c r="N63" s="1"/>
      <c r="Z63" s="11">
        <f>IF(AQ63="5",BJ63,0)</f>
        <v>0</v>
      </c>
      <c r="AB63" s="11">
        <f>IF(AQ63="1",BH63,0)</f>
        <v>0</v>
      </c>
      <c r="AC63" s="11">
        <f>IF(AQ63="1",BI63,0)</f>
        <v>0</v>
      </c>
      <c r="AD63" s="11">
        <f>IF(AQ63="7",BH63,0)</f>
        <v>0</v>
      </c>
      <c r="AE63" s="11">
        <f>IF(AQ63="7",BI63,0)</f>
        <v>0</v>
      </c>
      <c r="AF63" s="11">
        <f>IF(AQ63="2",BH63,0)</f>
        <v>0</v>
      </c>
      <c r="AG63" s="11">
        <f>IF(AQ63="2",BI63,0)</f>
        <v>0</v>
      </c>
      <c r="AH63" s="11">
        <f>IF(AQ63="0",BJ63,0)</f>
        <v>0</v>
      </c>
      <c r="AI63" s="8"/>
      <c r="AJ63" s="7">
        <f>IF(AN63=0,J63,0)</f>
        <v>0</v>
      </c>
      <c r="AK63" s="7">
        <f>IF(AN63=15,J63,0)</f>
        <v>0</v>
      </c>
      <c r="AL63" s="7">
        <f>IF(AN63=21,J63,0)</f>
        <v>0</v>
      </c>
      <c r="AN63" s="11">
        <v>21</v>
      </c>
      <c r="AO63" s="11">
        <f>G63*1</f>
        <v>0</v>
      </c>
      <c r="AP63" s="11">
        <f>G63*(1-1)</f>
        <v>0</v>
      </c>
      <c r="AQ63" s="13" t="s">
        <v>13</v>
      </c>
      <c r="AV63" s="11">
        <f>AW63+AX63</f>
        <v>0</v>
      </c>
      <c r="AW63" s="11">
        <f>F63*AO63</f>
        <v>0</v>
      </c>
      <c r="AX63" s="11">
        <f>F63*AP63</f>
        <v>0</v>
      </c>
      <c r="AY63" s="14" t="s">
        <v>607</v>
      </c>
      <c r="AZ63" s="14" t="s">
        <v>624</v>
      </c>
      <c r="BA63" s="8" t="s">
        <v>629</v>
      </c>
      <c r="BC63" s="11">
        <f>AW63+AX63</f>
        <v>0</v>
      </c>
      <c r="BD63" s="11">
        <f>G63/(100-BE63)*100</f>
        <v>0</v>
      </c>
      <c r="BE63" s="11">
        <v>0</v>
      </c>
      <c r="BF63" s="11">
        <f>L63</f>
        <v>0.010649</v>
      </c>
      <c r="BH63" s="7">
        <f>F63*AO63</f>
        <v>0</v>
      </c>
      <c r="BI63" s="7">
        <f>F63*AP63</f>
        <v>0</v>
      </c>
      <c r="BJ63" s="7">
        <f>F63*G63</f>
        <v>0</v>
      </c>
      <c r="BK63" s="7" t="s">
        <v>635</v>
      </c>
      <c r="BL63" s="11">
        <v>712</v>
      </c>
    </row>
    <row r="64" spans="1:14" ht="12.75">
      <c r="A64" s="131"/>
      <c r="B64" s="132"/>
      <c r="C64" s="133" t="s">
        <v>314</v>
      </c>
      <c r="D64" s="134"/>
      <c r="E64" s="132"/>
      <c r="F64" s="135">
        <v>99.523</v>
      </c>
      <c r="G64" s="173"/>
      <c r="H64" s="132"/>
      <c r="I64" s="132"/>
      <c r="J64" s="132"/>
      <c r="K64" s="132"/>
      <c r="L64" s="132"/>
      <c r="M64" s="136"/>
      <c r="N64" s="1"/>
    </row>
    <row r="65" spans="1:14" ht="12.75">
      <c r="A65" s="131"/>
      <c r="B65" s="132"/>
      <c r="C65" s="133" t="s">
        <v>315</v>
      </c>
      <c r="D65" s="134"/>
      <c r="E65" s="132"/>
      <c r="F65" s="135">
        <v>6.967</v>
      </c>
      <c r="G65" s="173"/>
      <c r="H65" s="132"/>
      <c r="I65" s="132"/>
      <c r="J65" s="132"/>
      <c r="K65" s="132"/>
      <c r="L65" s="132"/>
      <c r="M65" s="136"/>
      <c r="N65" s="1"/>
    </row>
    <row r="66" spans="1:64" ht="12.75">
      <c r="A66" s="126" t="s">
        <v>26</v>
      </c>
      <c r="B66" s="127" t="s">
        <v>157</v>
      </c>
      <c r="C66" s="242" t="s">
        <v>316</v>
      </c>
      <c r="D66" s="243"/>
      <c r="E66" s="127" t="s">
        <v>568</v>
      </c>
      <c r="F66" s="128">
        <v>46.284</v>
      </c>
      <c r="G66" s="174"/>
      <c r="H66" s="129">
        <f>F66*AO66</f>
        <v>0</v>
      </c>
      <c r="I66" s="129">
        <f>F66*AP66</f>
        <v>0</v>
      </c>
      <c r="J66" s="129">
        <f>F66*G66</f>
        <v>0</v>
      </c>
      <c r="K66" s="129">
        <v>0</v>
      </c>
      <c r="L66" s="129">
        <f>F66*K66</f>
        <v>0</v>
      </c>
      <c r="M66" s="130" t="s">
        <v>593</v>
      </c>
      <c r="N66" s="1"/>
      <c r="Z66" s="11">
        <f>IF(AQ66="5",BJ66,0)</f>
        <v>0</v>
      </c>
      <c r="AB66" s="11">
        <f>IF(AQ66="1",BH66,0)</f>
        <v>0</v>
      </c>
      <c r="AC66" s="11">
        <f>IF(AQ66="1",BI66,0)</f>
        <v>0</v>
      </c>
      <c r="AD66" s="11">
        <f>IF(AQ66="7",BH66,0)</f>
        <v>0</v>
      </c>
      <c r="AE66" s="11">
        <f>IF(AQ66="7",BI66,0)</f>
        <v>0</v>
      </c>
      <c r="AF66" s="11">
        <f>IF(AQ66="2",BH66,0)</f>
        <v>0</v>
      </c>
      <c r="AG66" s="11">
        <f>IF(AQ66="2",BI66,0)</f>
        <v>0</v>
      </c>
      <c r="AH66" s="11">
        <f>IF(AQ66="0",BJ66,0)</f>
        <v>0</v>
      </c>
      <c r="AI66" s="8"/>
      <c r="AJ66" s="6">
        <f>IF(AN66=0,J66,0)</f>
        <v>0</v>
      </c>
      <c r="AK66" s="6">
        <f>IF(AN66=15,J66,0)</f>
        <v>0</v>
      </c>
      <c r="AL66" s="6">
        <f>IF(AN66=21,J66,0)</f>
        <v>0</v>
      </c>
      <c r="AN66" s="11">
        <v>21</v>
      </c>
      <c r="AO66" s="11">
        <f>G66*0</f>
        <v>0</v>
      </c>
      <c r="AP66" s="11">
        <f>G66*(1-0)</f>
        <v>0</v>
      </c>
      <c r="AQ66" s="12" t="s">
        <v>11</v>
      </c>
      <c r="AV66" s="11">
        <f>AW66+AX66</f>
        <v>0</v>
      </c>
      <c r="AW66" s="11">
        <f>F66*AO66</f>
        <v>0</v>
      </c>
      <c r="AX66" s="11">
        <f>F66*AP66</f>
        <v>0</v>
      </c>
      <c r="AY66" s="14" t="s">
        <v>607</v>
      </c>
      <c r="AZ66" s="14" t="s">
        <v>624</v>
      </c>
      <c r="BA66" s="8" t="s">
        <v>629</v>
      </c>
      <c r="BC66" s="11">
        <f>AW66+AX66</f>
        <v>0</v>
      </c>
      <c r="BD66" s="11">
        <f>G66/(100-BE66)*100</f>
        <v>0</v>
      </c>
      <c r="BE66" s="11">
        <v>0</v>
      </c>
      <c r="BF66" s="11">
        <f>L66</f>
        <v>0</v>
      </c>
      <c r="BH66" s="6">
        <f>F66*AO66</f>
        <v>0</v>
      </c>
      <c r="BI66" s="6">
        <f>F66*AP66</f>
        <v>0</v>
      </c>
      <c r="BJ66" s="6">
        <f>F66*G66</f>
        <v>0</v>
      </c>
      <c r="BK66" s="6" t="s">
        <v>634</v>
      </c>
      <c r="BL66" s="11">
        <v>712</v>
      </c>
    </row>
    <row r="67" spans="1:47" ht="12.75">
      <c r="A67" s="137"/>
      <c r="B67" s="138" t="s">
        <v>158</v>
      </c>
      <c r="C67" s="244" t="s">
        <v>317</v>
      </c>
      <c r="D67" s="245"/>
      <c r="E67" s="139" t="s">
        <v>6</v>
      </c>
      <c r="F67" s="139" t="s">
        <v>6</v>
      </c>
      <c r="G67" s="139" t="s">
        <v>6</v>
      </c>
      <c r="H67" s="140">
        <f>SUM(H68:H78)</f>
        <v>0</v>
      </c>
      <c r="I67" s="140">
        <f>SUM(I68:I78)</f>
        <v>0</v>
      </c>
      <c r="J67" s="140">
        <f>SUM(J68:J78)</f>
        <v>0</v>
      </c>
      <c r="K67" s="141"/>
      <c r="L67" s="140">
        <f>SUM(L68:L78)</f>
        <v>5.804117799999999</v>
      </c>
      <c r="M67" s="142"/>
      <c r="N67" s="1"/>
      <c r="AI67" s="8"/>
      <c r="AS67" s="16">
        <f>SUM(AJ68:AJ78)</f>
        <v>0</v>
      </c>
      <c r="AT67" s="16">
        <f>SUM(AK68:AK78)</f>
        <v>0</v>
      </c>
      <c r="AU67" s="16">
        <f>SUM(AL68:AL78)</f>
        <v>0</v>
      </c>
    </row>
    <row r="68" spans="1:64" ht="12.75">
      <c r="A68" s="126" t="s">
        <v>27</v>
      </c>
      <c r="B68" s="127" t="s">
        <v>159</v>
      </c>
      <c r="C68" s="242" t="s">
        <v>318</v>
      </c>
      <c r="D68" s="243"/>
      <c r="E68" s="127" t="s">
        <v>565</v>
      </c>
      <c r="F68" s="128">
        <v>1121.2</v>
      </c>
      <c r="G68" s="174"/>
      <c r="H68" s="129">
        <f>F68*AO68</f>
        <v>0</v>
      </c>
      <c r="I68" s="129">
        <f>F68*AP68</f>
        <v>0</v>
      </c>
      <c r="J68" s="129">
        <f>F68*G68</f>
        <v>0</v>
      </c>
      <c r="K68" s="129">
        <v>0.0023</v>
      </c>
      <c r="L68" s="129">
        <f>F68*K68</f>
        <v>2.57876</v>
      </c>
      <c r="M68" s="130" t="s">
        <v>593</v>
      </c>
      <c r="N68" s="1"/>
      <c r="Z68" s="11">
        <f>IF(AQ68="5",BJ68,0)</f>
        <v>0</v>
      </c>
      <c r="AB68" s="11">
        <f>IF(AQ68="1",BH68,0)</f>
        <v>0</v>
      </c>
      <c r="AC68" s="11">
        <f>IF(AQ68="1",BI68,0)</f>
        <v>0</v>
      </c>
      <c r="AD68" s="11">
        <f>IF(AQ68="7",BH68,0)</f>
        <v>0</v>
      </c>
      <c r="AE68" s="11">
        <f>IF(AQ68="7",BI68,0)</f>
        <v>0</v>
      </c>
      <c r="AF68" s="11">
        <f>IF(AQ68="2",BH68,0)</f>
        <v>0</v>
      </c>
      <c r="AG68" s="11">
        <f>IF(AQ68="2",BI68,0)</f>
        <v>0</v>
      </c>
      <c r="AH68" s="11">
        <f>IF(AQ68="0",BJ68,0)</f>
        <v>0</v>
      </c>
      <c r="AI68" s="8"/>
      <c r="AJ68" s="6">
        <f>IF(AN68=0,J68,0)</f>
        <v>0</v>
      </c>
      <c r="AK68" s="6">
        <f>IF(AN68=15,J68,0)</f>
        <v>0</v>
      </c>
      <c r="AL68" s="6">
        <f>IF(AN68=21,J68,0)</f>
        <v>0</v>
      </c>
      <c r="AN68" s="11">
        <v>21</v>
      </c>
      <c r="AO68" s="11">
        <f>G68*0</f>
        <v>0</v>
      </c>
      <c r="AP68" s="11">
        <f>G68*(1-0)</f>
        <v>0</v>
      </c>
      <c r="AQ68" s="12" t="s">
        <v>13</v>
      </c>
      <c r="AV68" s="11">
        <f>AW68+AX68</f>
        <v>0</v>
      </c>
      <c r="AW68" s="11">
        <f>F68*AO68</f>
        <v>0</v>
      </c>
      <c r="AX68" s="11">
        <f>F68*AP68</f>
        <v>0</v>
      </c>
      <c r="AY68" s="14" t="s">
        <v>608</v>
      </c>
      <c r="AZ68" s="14" t="s">
        <v>624</v>
      </c>
      <c r="BA68" s="8" t="s">
        <v>629</v>
      </c>
      <c r="BC68" s="11">
        <f>AW68+AX68</f>
        <v>0</v>
      </c>
      <c r="BD68" s="11">
        <f>G68/(100-BE68)*100</f>
        <v>0</v>
      </c>
      <c r="BE68" s="11">
        <v>0</v>
      </c>
      <c r="BF68" s="11">
        <f>L68</f>
        <v>2.57876</v>
      </c>
      <c r="BH68" s="6">
        <f>F68*AO68</f>
        <v>0</v>
      </c>
      <c r="BI68" s="6">
        <f>F68*AP68</f>
        <v>0</v>
      </c>
      <c r="BJ68" s="6">
        <f>F68*G68</f>
        <v>0</v>
      </c>
      <c r="BK68" s="6" t="s">
        <v>634</v>
      </c>
      <c r="BL68" s="11">
        <v>713</v>
      </c>
    </row>
    <row r="69" spans="1:14" ht="12.75">
      <c r="A69" s="131"/>
      <c r="B69" s="132"/>
      <c r="C69" s="133" t="s">
        <v>291</v>
      </c>
      <c r="D69" s="134" t="s">
        <v>541</v>
      </c>
      <c r="E69" s="132"/>
      <c r="F69" s="135">
        <v>1121.2</v>
      </c>
      <c r="G69" s="173"/>
      <c r="H69" s="132"/>
      <c r="I69" s="132"/>
      <c r="J69" s="132"/>
      <c r="K69" s="132"/>
      <c r="L69" s="132"/>
      <c r="M69" s="136"/>
      <c r="N69" s="1"/>
    </row>
    <row r="70" spans="1:64" ht="12.75">
      <c r="A70" s="126" t="s">
        <v>28</v>
      </c>
      <c r="B70" s="127" t="s">
        <v>160</v>
      </c>
      <c r="C70" s="242" t="s">
        <v>319</v>
      </c>
      <c r="D70" s="243"/>
      <c r="E70" s="127" t="s">
        <v>565</v>
      </c>
      <c r="F70" s="128">
        <v>1121.2</v>
      </c>
      <c r="G70" s="174"/>
      <c r="H70" s="129">
        <f>F70*AO70</f>
        <v>0</v>
      </c>
      <c r="I70" s="129">
        <f>F70*AP70</f>
        <v>0</v>
      </c>
      <c r="J70" s="129">
        <f>F70*G70</f>
        <v>0</v>
      </c>
      <c r="K70" s="129">
        <v>0.00033</v>
      </c>
      <c r="L70" s="129">
        <f>F70*K70</f>
        <v>0.369996</v>
      </c>
      <c r="M70" s="130" t="s">
        <v>593</v>
      </c>
      <c r="N70" s="1"/>
      <c r="Z70" s="11">
        <f>IF(AQ70="5",BJ70,0)</f>
        <v>0</v>
      </c>
      <c r="AB70" s="11">
        <f>IF(AQ70="1",BH70,0)</f>
        <v>0</v>
      </c>
      <c r="AC70" s="11">
        <f>IF(AQ70="1",BI70,0)</f>
        <v>0</v>
      </c>
      <c r="AD70" s="11">
        <f>IF(AQ70="7",BH70,0)</f>
        <v>0</v>
      </c>
      <c r="AE70" s="11">
        <f>IF(AQ70="7",BI70,0)</f>
        <v>0</v>
      </c>
      <c r="AF70" s="11">
        <f>IF(AQ70="2",BH70,0)</f>
        <v>0</v>
      </c>
      <c r="AG70" s="11">
        <f>IF(AQ70="2",BI70,0)</f>
        <v>0</v>
      </c>
      <c r="AH70" s="11">
        <f>IF(AQ70="0",BJ70,0)</f>
        <v>0</v>
      </c>
      <c r="AI70" s="8"/>
      <c r="AJ70" s="6">
        <f>IF(AN70=0,J70,0)</f>
        <v>0</v>
      </c>
      <c r="AK70" s="6">
        <f>IF(AN70=15,J70,0)</f>
        <v>0</v>
      </c>
      <c r="AL70" s="6">
        <f>IF(AN70=21,J70,0)</f>
        <v>0</v>
      </c>
      <c r="AN70" s="11">
        <v>21</v>
      </c>
      <c r="AO70" s="11">
        <f>G70*0.369473684210526</f>
        <v>0</v>
      </c>
      <c r="AP70" s="11">
        <f>G70*(1-0.369473684210526)</f>
        <v>0</v>
      </c>
      <c r="AQ70" s="12" t="s">
        <v>13</v>
      </c>
      <c r="AV70" s="11">
        <f>AW70+AX70</f>
        <v>0</v>
      </c>
      <c r="AW70" s="11">
        <f>F70*AO70</f>
        <v>0</v>
      </c>
      <c r="AX70" s="11">
        <f>F70*AP70</f>
        <v>0</v>
      </c>
      <c r="AY70" s="14" t="s">
        <v>608</v>
      </c>
      <c r="AZ70" s="14" t="s">
        <v>624</v>
      </c>
      <c r="BA70" s="8" t="s">
        <v>629</v>
      </c>
      <c r="BC70" s="11">
        <f>AW70+AX70</f>
        <v>0</v>
      </c>
      <c r="BD70" s="11">
        <f>G70/(100-BE70)*100</f>
        <v>0</v>
      </c>
      <c r="BE70" s="11">
        <v>0</v>
      </c>
      <c r="BF70" s="11">
        <f>L70</f>
        <v>0.369996</v>
      </c>
      <c r="BH70" s="6">
        <f>F70*AO70</f>
        <v>0</v>
      </c>
      <c r="BI70" s="6">
        <f>F70*AP70</f>
        <v>0</v>
      </c>
      <c r="BJ70" s="6">
        <f>F70*G70</f>
        <v>0</v>
      </c>
      <c r="BK70" s="6" t="s">
        <v>634</v>
      </c>
      <c r="BL70" s="11">
        <v>713</v>
      </c>
    </row>
    <row r="71" spans="1:14" ht="12.75">
      <c r="A71" s="131"/>
      <c r="B71" s="132"/>
      <c r="C71" s="133" t="s">
        <v>291</v>
      </c>
      <c r="D71" s="134" t="s">
        <v>541</v>
      </c>
      <c r="E71" s="132"/>
      <c r="F71" s="135">
        <v>1121.2</v>
      </c>
      <c r="G71" s="173"/>
      <c r="H71" s="132"/>
      <c r="I71" s="132"/>
      <c r="J71" s="132"/>
      <c r="K71" s="132"/>
      <c r="L71" s="132"/>
      <c r="M71" s="136"/>
      <c r="N71" s="1"/>
    </row>
    <row r="72" spans="1:14" ht="12.75">
      <c r="A72" s="131"/>
      <c r="B72" s="144" t="s">
        <v>132</v>
      </c>
      <c r="C72" s="258" t="s">
        <v>320</v>
      </c>
      <c r="D72" s="259"/>
      <c r="E72" s="259"/>
      <c r="F72" s="259"/>
      <c r="G72" s="259"/>
      <c r="H72" s="259"/>
      <c r="I72" s="259"/>
      <c r="J72" s="259"/>
      <c r="K72" s="259"/>
      <c r="L72" s="259"/>
      <c r="M72" s="260"/>
      <c r="N72" s="1"/>
    </row>
    <row r="73" spans="1:64" ht="12.75">
      <c r="A73" s="145" t="s">
        <v>29</v>
      </c>
      <c r="B73" s="146" t="s">
        <v>161</v>
      </c>
      <c r="C73" s="253" t="s">
        <v>321</v>
      </c>
      <c r="D73" s="254"/>
      <c r="E73" s="146" t="s">
        <v>565</v>
      </c>
      <c r="F73" s="147">
        <v>1177.26</v>
      </c>
      <c r="G73" s="172"/>
      <c r="H73" s="148">
        <f>F73*AO73</f>
        <v>0</v>
      </c>
      <c r="I73" s="148">
        <f>F73*AP73</f>
        <v>0</v>
      </c>
      <c r="J73" s="148">
        <f>F73*G73</f>
        <v>0</v>
      </c>
      <c r="K73" s="148">
        <v>0.0024</v>
      </c>
      <c r="L73" s="148">
        <f>F73*K73</f>
        <v>2.825424</v>
      </c>
      <c r="M73" s="149" t="s">
        <v>593</v>
      </c>
      <c r="N73" s="1"/>
      <c r="Z73" s="11">
        <f>IF(AQ73="5",BJ73,0)</f>
        <v>0</v>
      </c>
      <c r="AB73" s="11">
        <f>IF(AQ73="1",BH73,0)</f>
        <v>0</v>
      </c>
      <c r="AC73" s="11">
        <f>IF(AQ73="1",BI73,0)</f>
        <v>0</v>
      </c>
      <c r="AD73" s="11">
        <f>IF(AQ73="7",BH73,0)</f>
        <v>0</v>
      </c>
      <c r="AE73" s="11">
        <f>IF(AQ73="7",BI73,0)</f>
        <v>0</v>
      </c>
      <c r="AF73" s="11">
        <f>IF(AQ73="2",BH73,0)</f>
        <v>0</v>
      </c>
      <c r="AG73" s="11">
        <f>IF(AQ73="2",BI73,0)</f>
        <v>0</v>
      </c>
      <c r="AH73" s="11">
        <f>IF(AQ73="0",BJ73,0)</f>
        <v>0</v>
      </c>
      <c r="AI73" s="8"/>
      <c r="AJ73" s="7">
        <f>IF(AN73=0,J73,0)</f>
        <v>0</v>
      </c>
      <c r="AK73" s="7">
        <f>IF(AN73=15,J73,0)</f>
        <v>0</v>
      </c>
      <c r="AL73" s="7">
        <f>IF(AN73=21,J73,0)</f>
        <v>0</v>
      </c>
      <c r="AN73" s="11">
        <v>21</v>
      </c>
      <c r="AO73" s="11">
        <f>G73*1</f>
        <v>0</v>
      </c>
      <c r="AP73" s="11">
        <f>G73*(1-1)</f>
        <v>0</v>
      </c>
      <c r="AQ73" s="13" t="s">
        <v>13</v>
      </c>
      <c r="AV73" s="11">
        <f>AW73+AX73</f>
        <v>0</v>
      </c>
      <c r="AW73" s="11">
        <f>F73*AO73</f>
        <v>0</v>
      </c>
      <c r="AX73" s="11">
        <f>F73*AP73</f>
        <v>0</v>
      </c>
      <c r="AY73" s="14" t="s">
        <v>608</v>
      </c>
      <c r="AZ73" s="14" t="s">
        <v>624</v>
      </c>
      <c r="BA73" s="8" t="s">
        <v>629</v>
      </c>
      <c r="BC73" s="11">
        <f>AW73+AX73</f>
        <v>0</v>
      </c>
      <c r="BD73" s="11">
        <f>G73/(100-BE73)*100</f>
        <v>0</v>
      </c>
      <c r="BE73" s="11">
        <v>0</v>
      </c>
      <c r="BF73" s="11">
        <f>L73</f>
        <v>2.825424</v>
      </c>
      <c r="BH73" s="7">
        <f>F73*AO73</f>
        <v>0</v>
      </c>
      <c r="BI73" s="7">
        <f>F73*AP73</f>
        <v>0</v>
      </c>
      <c r="BJ73" s="7">
        <f>F73*G73</f>
        <v>0</v>
      </c>
      <c r="BK73" s="7" t="s">
        <v>635</v>
      </c>
      <c r="BL73" s="11">
        <v>713</v>
      </c>
    </row>
    <row r="74" spans="1:14" ht="12.75">
      <c r="A74" s="131"/>
      <c r="B74" s="132"/>
      <c r="C74" s="133" t="s">
        <v>293</v>
      </c>
      <c r="D74" s="134"/>
      <c r="E74" s="132"/>
      <c r="F74" s="135">
        <v>1121.2</v>
      </c>
      <c r="G74" s="173"/>
      <c r="H74" s="132"/>
      <c r="I74" s="132"/>
      <c r="J74" s="132"/>
      <c r="K74" s="132"/>
      <c r="L74" s="132"/>
      <c r="M74" s="136"/>
      <c r="N74" s="1"/>
    </row>
    <row r="75" spans="1:14" ht="12.75">
      <c r="A75" s="131"/>
      <c r="B75" s="132"/>
      <c r="C75" s="133" t="s">
        <v>322</v>
      </c>
      <c r="D75" s="134"/>
      <c r="E75" s="132"/>
      <c r="F75" s="135">
        <v>56.06</v>
      </c>
      <c r="G75" s="173"/>
      <c r="H75" s="132"/>
      <c r="I75" s="132"/>
      <c r="J75" s="132"/>
      <c r="K75" s="132"/>
      <c r="L75" s="132"/>
      <c r="M75" s="136"/>
      <c r="N75" s="1"/>
    </row>
    <row r="76" spans="1:64" ht="12.75">
      <c r="A76" s="126" t="s">
        <v>30</v>
      </c>
      <c r="B76" s="127" t="s">
        <v>162</v>
      </c>
      <c r="C76" s="242" t="s">
        <v>794</v>
      </c>
      <c r="D76" s="243"/>
      <c r="E76" s="127" t="s">
        <v>565</v>
      </c>
      <c r="F76" s="128">
        <v>149.689</v>
      </c>
      <c r="G76" s="174"/>
      <c r="H76" s="129">
        <f>F76*AO76</f>
        <v>0</v>
      </c>
      <c r="I76" s="129">
        <f>F76*AP76</f>
        <v>0</v>
      </c>
      <c r="J76" s="129">
        <f>F76*G76</f>
        <v>0</v>
      </c>
      <c r="K76" s="129">
        <v>0.0002</v>
      </c>
      <c r="L76" s="129">
        <f>F76*K76</f>
        <v>0.0299378</v>
      </c>
      <c r="M76" s="130" t="s">
        <v>593</v>
      </c>
      <c r="N76" s="1"/>
      <c r="Z76" s="11">
        <f>IF(AQ76="5",BJ76,0)</f>
        <v>0</v>
      </c>
      <c r="AB76" s="11">
        <f>IF(AQ76="1",BH76,0)</f>
        <v>0</v>
      </c>
      <c r="AC76" s="11">
        <f>IF(AQ76="1",BI76,0)</f>
        <v>0</v>
      </c>
      <c r="AD76" s="11">
        <f>IF(AQ76="7",BH76,0)</f>
        <v>0</v>
      </c>
      <c r="AE76" s="11">
        <f>IF(AQ76="7",BI76,0)</f>
        <v>0</v>
      </c>
      <c r="AF76" s="11">
        <f>IF(AQ76="2",BH76,0)</f>
        <v>0</v>
      </c>
      <c r="AG76" s="11">
        <f>IF(AQ76="2",BI76,0)</f>
        <v>0</v>
      </c>
      <c r="AH76" s="11">
        <f>IF(AQ76="0",BJ76,0)</f>
        <v>0</v>
      </c>
      <c r="AI76" s="8"/>
      <c r="AJ76" s="6">
        <f>IF(AN76=0,J76,0)</f>
        <v>0</v>
      </c>
      <c r="AK76" s="6">
        <f>IF(AN76=15,J76,0)</f>
        <v>0</v>
      </c>
      <c r="AL76" s="6">
        <f>IF(AN76=21,J76,0)</f>
        <v>0</v>
      </c>
      <c r="AN76" s="11">
        <v>21</v>
      </c>
      <c r="AO76" s="11">
        <f>G76*0.475417615696874</f>
        <v>0</v>
      </c>
      <c r="AP76" s="11">
        <f>G76*(1-0.475417615696874)</f>
        <v>0</v>
      </c>
      <c r="AQ76" s="12" t="s">
        <v>13</v>
      </c>
      <c r="AV76" s="11">
        <f>AW76+AX76</f>
        <v>0</v>
      </c>
      <c r="AW76" s="11">
        <f>F76*AO76</f>
        <v>0</v>
      </c>
      <c r="AX76" s="11">
        <f>F76*AP76</f>
        <v>0</v>
      </c>
      <c r="AY76" s="14" t="s">
        <v>608</v>
      </c>
      <c r="AZ76" s="14" t="s">
        <v>624</v>
      </c>
      <c r="BA76" s="8" t="s">
        <v>629</v>
      </c>
      <c r="BC76" s="11">
        <f>AW76+AX76</f>
        <v>0</v>
      </c>
      <c r="BD76" s="11">
        <f>G76/(100-BE76)*100</f>
        <v>0</v>
      </c>
      <c r="BE76" s="11">
        <v>0</v>
      </c>
      <c r="BF76" s="11">
        <f>L76</f>
        <v>0.0299378</v>
      </c>
      <c r="BH76" s="6">
        <f>F76*AO76</f>
        <v>0</v>
      </c>
      <c r="BI76" s="6">
        <f>F76*AP76</f>
        <v>0</v>
      </c>
      <c r="BJ76" s="6">
        <f>F76*G76</f>
        <v>0</v>
      </c>
      <c r="BK76" s="6" t="s">
        <v>634</v>
      </c>
      <c r="BL76" s="11">
        <v>713</v>
      </c>
    </row>
    <row r="77" spans="1:14" ht="12.75">
      <c r="A77" s="131"/>
      <c r="B77" s="132"/>
      <c r="C77" s="133" t="s">
        <v>323</v>
      </c>
      <c r="D77" s="134" t="s">
        <v>546</v>
      </c>
      <c r="E77" s="132"/>
      <c r="F77" s="135">
        <v>149.689</v>
      </c>
      <c r="G77" s="173"/>
      <c r="H77" s="132"/>
      <c r="I77" s="132"/>
      <c r="J77" s="132"/>
      <c r="K77" s="132"/>
      <c r="L77" s="132"/>
      <c r="M77" s="136"/>
      <c r="N77" s="1"/>
    </row>
    <row r="78" spans="1:64" ht="12.75">
      <c r="A78" s="126" t="s">
        <v>31</v>
      </c>
      <c r="B78" s="127" t="s">
        <v>163</v>
      </c>
      <c r="C78" s="242" t="s">
        <v>324</v>
      </c>
      <c r="D78" s="243"/>
      <c r="E78" s="127" t="s">
        <v>568</v>
      </c>
      <c r="F78" s="128">
        <v>5.805</v>
      </c>
      <c r="G78" s="174"/>
      <c r="H78" s="129">
        <f>F78*AO78</f>
        <v>0</v>
      </c>
      <c r="I78" s="129">
        <f>F78*AP78</f>
        <v>0</v>
      </c>
      <c r="J78" s="129">
        <f>F78*G78</f>
        <v>0</v>
      </c>
      <c r="K78" s="129">
        <v>0</v>
      </c>
      <c r="L78" s="129">
        <f>F78*K78</f>
        <v>0</v>
      </c>
      <c r="M78" s="130" t="s">
        <v>593</v>
      </c>
      <c r="N78" s="1"/>
      <c r="Z78" s="11">
        <f>IF(AQ78="5",BJ78,0)</f>
        <v>0</v>
      </c>
      <c r="AB78" s="11">
        <f>IF(AQ78="1",BH78,0)</f>
        <v>0</v>
      </c>
      <c r="AC78" s="11">
        <f>IF(AQ78="1",BI78,0)</f>
        <v>0</v>
      </c>
      <c r="AD78" s="11">
        <f>IF(AQ78="7",BH78,0)</f>
        <v>0</v>
      </c>
      <c r="AE78" s="11">
        <f>IF(AQ78="7",BI78,0)</f>
        <v>0</v>
      </c>
      <c r="AF78" s="11">
        <f>IF(AQ78="2",BH78,0)</f>
        <v>0</v>
      </c>
      <c r="AG78" s="11">
        <f>IF(AQ78="2",BI78,0)</f>
        <v>0</v>
      </c>
      <c r="AH78" s="11">
        <f>IF(AQ78="0",BJ78,0)</f>
        <v>0</v>
      </c>
      <c r="AI78" s="8"/>
      <c r="AJ78" s="6">
        <f>IF(AN78=0,J78,0)</f>
        <v>0</v>
      </c>
      <c r="AK78" s="6">
        <f>IF(AN78=15,J78,0)</f>
        <v>0</v>
      </c>
      <c r="AL78" s="6">
        <f>IF(AN78=21,J78,0)</f>
        <v>0</v>
      </c>
      <c r="AN78" s="11">
        <v>21</v>
      </c>
      <c r="AO78" s="11">
        <f>G78*0</f>
        <v>0</v>
      </c>
      <c r="AP78" s="11">
        <f>G78*(1-0)</f>
        <v>0</v>
      </c>
      <c r="AQ78" s="12" t="s">
        <v>11</v>
      </c>
      <c r="AV78" s="11">
        <f>AW78+AX78</f>
        <v>0</v>
      </c>
      <c r="AW78" s="11">
        <f>F78*AO78</f>
        <v>0</v>
      </c>
      <c r="AX78" s="11">
        <f>F78*AP78</f>
        <v>0</v>
      </c>
      <c r="AY78" s="14" t="s">
        <v>608</v>
      </c>
      <c r="AZ78" s="14" t="s">
        <v>624</v>
      </c>
      <c r="BA78" s="8" t="s">
        <v>629</v>
      </c>
      <c r="BC78" s="11">
        <f>AW78+AX78</f>
        <v>0</v>
      </c>
      <c r="BD78" s="11">
        <f>G78/(100-BE78)*100</f>
        <v>0</v>
      </c>
      <c r="BE78" s="11">
        <v>0</v>
      </c>
      <c r="BF78" s="11">
        <f>L78</f>
        <v>0</v>
      </c>
      <c r="BH78" s="6">
        <f>F78*AO78</f>
        <v>0</v>
      </c>
      <c r="BI78" s="6">
        <f>F78*AP78</f>
        <v>0</v>
      </c>
      <c r="BJ78" s="6">
        <f>F78*G78</f>
        <v>0</v>
      </c>
      <c r="BK78" s="6" t="s">
        <v>634</v>
      </c>
      <c r="BL78" s="11">
        <v>713</v>
      </c>
    </row>
    <row r="79" spans="1:47" ht="12.75">
      <c r="A79" s="137"/>
      <c r="B79" s="138" t="s">
        <v>164</v>
      </c>
      <c r="C79" s="244" t="s">
        <v>325</v>
      </c>
      <c r="D79" s="245"/>
      <c r="E79" s="139" t="s">
        <v>6</v>
      </c>
      <c r="F79" s="139" t="s">
        <v>6</v>
      </c>
      <c r="G79" s="139" t="s">
        <v>6</v>
      </c>
      <c r="H79" s="140">
        <f>SUM(H80:H90)</f>
        <v>0</v>
      </c>
      <c r="I79" s="140">
        <f>SUM(I80:I90)</f>
        <v>0</v>
      </c>
      <c r="J79" s="140">
        <f>SUM(J80:J90)</f>
        <v>0</v>
      </c>
      <c r="K79" s="141"/>
      <c r="L79" s="140">
        <f>SUM(L80:L90)</f>
        <v>0.61599</v>
      </c>
      <c r="M79" s="142"/>
      <c r="N79" s="1"/>
      <c r="AI79" s="8"/>
      <c r="AS79" s="16">
        <f>SUM(AJ80:AJ90)</f>
        <v>0</v>
      </c>
      <c r="AT79" s="16">
        <f>SUM(AK80:AK90)</f>
        <v>0</v>
      </c>
      <c r="AU79" s="16">
        <f>SUM(AL80:AL90)</f>
        <v>0</v>
      </c>
    </row>
    <row r="80" spans="1:64" ht="12.75">
      <c r="A80" s="126" t="s">
        <v>32</v>
      </c>
      <c r="B80" s="127" t="s">
        <v>165</v>
      </c>
      <c r="C80" s="242" t="s">
        <v>326</v>
      </c>
      <c r="D80" s="243"/>
      <c r="E80" s="127" t="s">
        <v>564</v>
      </c>
      <c r="F80" s="128">
        <v>24</v>
      </c>
      <c r="G80" s="174"/>
      <c r="H80" s="129">
        <f>F80*AO80</f>
        <v>0</v>
      </c>
      <c r="I80" s="129">
        <f>F80*AP80</f>
        <v>0</v>
      </c>
      <c r="J80" s="129">
        <f>F80*G80</f>
        <v>0</v>
      </c>
      <c r="K80" s="129">
        <v>0.0145</v>
      </c>
      <c r="L80" s="129">
        <f>F80*K80</f>
        <v>0.34800000000000003</v>
      </c>
      <c r="M80" s="130" t="s">
        <v>593</v>
      </c>
      <c r="N80" s="1"/>
      <c r="Z80" s="11">
        <f>IF(AQ80="5",BJ80,0)</f>
        <v>0</v>
      </c>
      <c r="AB80" s="11">
        <f>IF(AQ80="1",BH80,0)</f>
        <v>0</v>
      </c>
      <c r="AC80" s="11">
        <f>IF(AQ80="1",BI80,0)</f>
        <v>0</v>
      </c>
      <c r="AD80" s="11">
        <f>IF(AQ80="7",BH80,0)</f>
        <v>0</v>
      </c>
      <c r="AE80" s="11">
        <f>IF(AQ80="7",BI80,0)</f>
        <v>0</v>
      </c>
      <c r="AF80" s="11">
        <f>IF(AQ80="2",BH80,0)</f>
        <v>0</v>
      </c>
      <c r="AG80" s="11">
        <f>IF(AQ80="2",BI80,0)</f>
        <v>0</v>
      </c>
      <c r="AH80" s="11">
        <f>IF(AQ80="0",BJ80,0)</f>
        <v>0</v>
      </c>
      <c r="AI80" s="8"/>
      <c r="AJ80" s="6">
        <f>IF(AN80=0,J80,0)</f>
        <v>0</v>
      </c>
      <c r="AK80" s="6">
        <f>IF(AN80=15,J80,0)</f>
        <v>0</v>
      </c>
      <c r="AL80" s="6">
        <f>IF(AN80=21,J80,0)</f>
        <v>0</v>
      </c>
      <c r="AN80" s="11">
        <v>21</v>
      </c>
      <c r="AO80" s="11">
        <f>G80*0.928591326957006</f>
        <v>0</v>
      </c>
      <c r="AP80" s="11">
        <f>G80*(1-0.928591326957006)</f>
        <v>0</v>
      </c>
      <c r="AQ80" s="12" t="s">
        <v>13</v>
      </c>
      <c r="AV80" s="11">
        <f>AW80+AX80</f>
        <v>0</v>
      </c>
      <c r="AW80" s="11">
        <f>F80*AO80</f>
        <v>0</v>
      </c>
      <c r="AX80" s="11">
        <f>F80*AP80</f>
        <v>0</v>
      </c>
      <c r="AY80" s="14" t="s">
        <v>609</v>
      </c>
      <c r="AZ80" s="14" t="s">
        <v>625</v>
      </c>
      <c r="BA80" s="8" t="s">
        <v>629</v>
      </c>
      <c r="BC80" s="11">
        <f>AW80+AX80</f>
        <v>0</v>
      </c>
      <c r="BD80" s="11">
        <f>G80/(100-BE80)*100</f>
        <v>0</v>
      </c>
      <c r="BE80" s="11">
        <v>0</v>
      </c>
      <c r="BF80" s="11">
        <f>L80</f>
        <v>0.34800000000000003</v>
      </c>
      <c r="BH80" s="6">
        <f>F80*AO80</f>
        <v>0</v>
      </c>
      <c r="BI80" s="6">
        <f>F80*AP80</f>
        <v>0</v>
      </c>
      <c r="BJ80" s="6">
        <f>F80*G80</f>
        <v>0</v>
      </c>
      <c r="BK80" s="6" t="s">
        <v>634</v>
      </c>
      <c r="BL80" s="11">
        <v>721</v>
      </c>
    </row>
    <row r="81" spans="1:14" ht="12.75">
      <c r="A81" s="131"/>
      <c r="B81" s="132"/>
      <c r="C81" s="133" t="s">
        <v>30</v>
      </c>
      <c r="D81" s="134" t="s">
        <v>547</v>
      </c>
      <c r="E81" s="132"/>
      <c r="F81" s="135">
        <v>24</v>
      </c>
      <c r="G81" s="173"/>
      <c r="H81" s="132"/>
      <c r="I81" s="132"/>
      <c r="J81" s="132"/>
      <c r="K81" s="132"/>
      <c r="L81" s="132"/>
      <c r="M81" s="136"/>
      <c r="N81" s="1"/>
    </row>
    <row r="82" spans="1:64" ht="12.75">
      <c r="A82" s="126" t="s">
        <v>33</v>
      </c>
      <c r="B82" s="127" t="s">
        <v>166</v>
      </c>
      <c r="C82" s="242" t="s">
        <v>327</v>
      </c>
      <c r="D82" s="243"/>
      <c r="E82" s="127" t="s">
        <v>564</v>
      </c>
      <c r="F82" s="128">
        <v>13</v>
      </c>
      <c r="G82" s="174"/>
      <c r="H82" s="129">
        <f>F82*AO82</f>
        <v>0</v>
      </c>
      <c r="I82" s="129">
        <f>F82*AP82</f>
        <v>0</v>
      </c>
      <c r="J82" s="129">
        <f>F82*G82</f>
        <v>0</v>
      </c>
      <c r="K82" s="129">
        <v>0.01705</v>
      </c>
      <c r="L82" s="129">
        <f>F82*K82</f>
        <v>0.22164999999999999</v>
      </c>
      <c r="M82" s="130" t="s">
        <v>593</v>
      </c>
      <c r="N82" s="1"/>
      <c r="Z82" s="11">
        <f>IF(AQ82="5",BJ82,0)</f>
        <v>0</v>
      </c>
      <c r="AB82" s="11">
        <f>IF(AQ82="1",BH82,0)</f>
        <v>0</v>
      </c>
      <c r="AC82" s="11">
        <f>IF(AQ82="1",BI82,0)</f>
        <v>0</v>
      </c>
      <c r="AD82" s="11">
        <f>IF(AQ82="7",BH82,0)</f>
        <v>0</v>
      </c>
      <c r="AE82" s="11">
        <f>IF(AQ82="7",BI82,0)</f>
        <v>0</v>
      </c>
      <c r="AF82" s="11">
        <f>IF(AQ82="2",BH82,0)</f>
        <v>0</v>
      </c>
      <c r="AG82" s="11">
        <f>IF(AQ82="2",BI82,0)</f>
        <v>0</v>
      </c>
      <c r="AH82" s="11">
        <f>IF(AQ82="0",BJ82,0)</f>
        <v>0</v>
      </c>
      <c r="AI82" s="8"/>
      <c r="AJ82" s="6">
        <f>IF(AN82=0,J82,0)</f>
        <v>0</v>
      </c>
      <c r="AK82" s="6">
        <f>IF(AN82=15,J82,0)</f>
        <v>0</v>
      </c>
      <c r="AL82" s="6">
        <f>IF(AN82=21,J82,0)</f>
        <v>0</v>
      </c>
      <c r="AN82" s="11">
        <v>21</v>
      </c>
      <c r="AO82" s="11">
        <f>G82*0</f>
        <v>0</v>
      </c>
      <c r="AP82" s="11">
        <f>G82*(1-0)</f>
        <v>0</v>
      </c>
      <c r="AQ82" s="12" t="s">
        <v>13</v>
      </c>
      <c r="AV82" s="11">
        <f>AW82+AX82</f>
        <v>0</v>
      </c>
      <c r="AW82" s="11">
        <f>F82*AO82</f>
        <v>0</v>
      </c>
      <c r="AX82" s="11">
        <f>F82*AP82</f>
        <v>0</v>
      </c>
      <c r="AY82" s="14" t="s">
        <v>609</v>
      </c>
      <c r="AZ82" s="14" t="s">
        <v>625</v>
      </c>
      <c r="BA82" s="8" t="s">
        <v>629</v>
      </c>
      <c r="BC82" s="11">
        <f>AW82+AX82</f>
        <v>0</v>
      </c>
      <c r="BD82" s="11">
        <f>G82/(100-BE82)*100</f>
        <v>0</v>
      </c>
      <c r="BE82" s="11">
        <v>0</v>
      </c>
      <c r="BF82" s="11">
        <f>L82</f>
        <v>0.22164999999999999</v>
      </c>
      <c r="BH82" s="6">
        <f>F82*AO82</f>
        <v>0</v>
      </c>
      <c r="BI82" s="6">
        <f>F82*AP82</f>
        <v>0</v>
      </c>
      <c r="BJ82" s="6">
        <f>F82*G82</f>
        <v>0</v>
      </c>
      <c r="BK82" s="6" t="s">
        <v>634</v>
      </c>
      <c r="BL82" s="11">
        <v>721</v>
      </c>
    </row>
    <row r="83" spans="1:14" ht="12.75">
      <c r="A83" s="131"/>
      <c r="B83" s="132"/>
      <c r="C83" s="133" t="s">
        <v>19</v>
      </c>
      <c r="D83" s="134"/>
      <c r="E83" s="132"/>
      <c r="F83" s="135">
        <v>13</v>
      </c>
      <c r="G83" s="173"/>
      <c r="H83" s="132"/>
      <c r="I83" s="132"/>
      <c r="J83" s="132"/>
      <c r="K83" s="132"/>
      <c r="L83" s="132"/>
      <c r="M83" s="136"/>
      <c r="N83" s="1"/>
    </row>
    <row r="84" spans="1:64" ht="12.75">
      <c r="A84" s="126" t="s">
        <v>34</v>
      </c>
      <c r="B84" s="127" t="s">
        <v>167</v>
      </c>
      <c r="C84" s="242" t="s">
        <v>328</v>
      </c>
      <c r="D84" s="243"/>
      <c r="E84" s="127" t="s">
        <v>564</v>
      </c>
      <c r="F84" s="128">
        <v>15</v>
      </c>
      <c r="G84" s="174"/>
      <c r="H84" s="129">
        <f>F84*AO84</f>
        <v>0</v>
      </c>
      <c r="I84" s="129">
        <f>F84*AP84</f>
        <v>0</v>
      </c>
      <c r="J84" s="129">
        <f>F84*G84</f>
        <v>0</v>
      </c>
      <c r="K84" s="129">
        <v>0.00222</v>
      </c>
      <c r="L84" s="129">
        <f>F84*K84</f>
        <v>0.0333</v>
      </c>
      <c r="M84" s="130" t="s">
        <v>593</v>
      </c>
      <c r="N84" s="1"/>
      <c r="Z84" s="11">
        <f>IF(AQ84="5",BJ84,0)</f>
        <v>0</v>
      </c>
      <c r="AB84" s="11">
        <f>IF(AQ84="1",BH84,0)</f>
        <v>0</v>
      </c>
      <c r="AC84" s="11">
        <f>IF(AQ84="1",BI84,0)</f>
        <v>0</v>
      </c>
      <c r="AD84" s="11">
        <f>IF(AQ84="7",BH84,0)</f>
        <v>0</v>
      </c>
      <c r="AE84" s="11">
        <f>IF(AQ84="7",BI84,0)</f>
        <v>0</v>
      </c>
      <c r="AF84" s="11">
        <f>IF(AQ84="2",BH84,0)</f>
        <v>0</v>
      </c>
      <c r="AG84" s="11">
        <f>IF(AQ84="2",BI84,0)</f>
        <v>0</v>
      </c>
      <c r="AH84" s="11">
        <f>IF(AQ84="0",BJ84,0)</f>
        <v>0</v>
      </c>
      <c r="AI84" s="8"/>
      <c r="AJ84" s="6">
        <f>IF(AN84=0,J84,0)</f>
        <v>0</v>
      </c>
      <c r="AK84" s="6">
        <f>IF(AN84=15,J84,0)</f>
        <v>0</v>
      </c>
      <c r="AL84" s="6">
        <f>IF(AN84=21,J84,0)</f>
        <v>0</v>
      </c>
      <c r="AN84" s="11">
        <v>21</v>
      </c>
      <c r="AO84" s="11">
        <f>G84*0.948315366049879</f>
        <v>0</v>
      </c>
      <c r="AP84" s="11">
        <f>G84*(1-0.948315366049879)</f>
        <v>0</v>
      </c>
      <c r="AQ84" s="12" t="s">
        <v>13</v>
      </c>
      <c r="AV84" s="11">
        <f>AW84+AX84</f>
        <v>0</v>
      </c>
      <c r="AW84" s="11">
        <f>F84*AO84</f>
        <v>0</v>
      </c>
      <c r="AX84" s="11">
        <f>F84*AP84</f>
        <v>0</v>
      </c>
      <c r="AY84" s="14" t="s">
        <v>609</v>
      </c>
      <c r="AZ84" s="14" t="s">
        <v>625</v>
      </c>
      <c r="BA84" s="8" t="s">
        <v>629</v>
      </c>
      <c r="BC84" s="11">
        <f>AW84+AX84</f>
        <v>0</v>
      </c>
      <c r="BD84" s="11">
        <f>G84/(100-BE84)*100</f>
        <v>0</v>
      </c>
      <c r="BE84" s="11">
        <v>0</v>
      </c>
      <c r="BF84" s="11">
        <f>L84</f>
        <v>0.0333</v>
      </c>
      <c r="BH84" s="6">
        <f>F84*AO84</f>
        <v>0</v>
      </c>
      <c r="BI84" s="6">
        <f>F84*AP84</f>
        <v>0</v>
      </c>
      <c r="BJ84" s="6">
        <f>F84*G84</f>
        <v>0</v>
      </c>
      <c r="BK84" s="6" t="s">
        <v>634</v>
      </c>
      <c r="BL84" s="11">
        <v>721</v>
      </c>
    </row>
    <row r="85" spans="1:14" ht="12.75">
      <c r="A85" s="131"/>
      <c r="B85" s="143" t="s">
        <v>137</v>
      </c>
      <c r="C85" s="250" t="s">
        <v>329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2"/>
      <c r="N85" s="1"/>
    </row>
    <row r="86" spans="1:14" ht="12.75">
      <c r="A86" s="131"/>
      <c r="B86" s="132"/>
      <c r="C86" s="133" t="s">
        <v>21</v>
      </c>
      <c r="D86" s="134" t="s">
        <v>548</v>
      </c>
      <c r="E86" s="132"/>
      <c r="F86" s="135">
        <v>15</v>
      </c>
      <c r="G86" s="173"/>
      <c r="H86" s="132"/>
      <c r="I86" s="132"/>
      <c r="J86" s="132"/>
      <c r="K86" s="132"/>
      <c r="L86" s="132"/>
      <c r="M86" s="136"/>
      <c r="N86" s="1"/>
    </row>
    <row r="87" spans="1:14" ht="12.75">
      <c r="A87" s="131"/>
      <c r="B87" s="144" t="s">
        <v>132</v>
      </c>
      <c r="C87" s="258" t="s">
        <v>330</v>
      </c>
      <c r="D87" s="259"/>
      <c r="E87" s="259"/>
      <c r="F87" s="259"/>
      <c r="G87" s="259"/>
      <c r="H87" s="259"/>
      <c r="I87" s="259"/>
      <c r="J87" s="259"/>
      <c r="K87" s="259"/>
      <c r="L87" s="259"/>
      <c r="M87" s="260"/>
      <c r="N87" s="1"/>
    </row>
    <row r="88" spans="1:64" ht="12.75">
      <c r="A88" s="126" t="s">
        <v>35</v>
      </c>
      <c r="B88" s="127" t="s">
        <v>168</v>
      </c>
      <c r="C88" s="242" t="s">
        <v>331</v>
      </c>
      <c r="D88" s="243"/>
      <c r="E88" s="127" t="s">
        <v>564</v>
      </c>
      <c r="F88" s="128">
        <v>8</v>
      </c>
      <c r="G88" s="174"/>
      <c r="H88" s="129">
        <f>F88*AO88</f>
        <v>0</v>
      </c>
      <c r="I88" s="129">
        <f>F88*AP88</f>
        <v>0</v>
      </c>
      <c r="J88" s="129">
        <f>F88*G88</f>
        <v>0</v>
      </c>
      <c r="K88" s="129">
        <v>0.00163</v>
      </c>
      <c r="L88" s="129">
        <f>F88*K88</f>
        <v>0.01304</v>
      </c>
      <c r="M88" s="130" t="s">
        <v>593</v>
      </c>
      <c r="N88" s="1"/>
      <c r="Z88" s="11">
        <f>IF(AQ88="5",BJ88,0)</f>
        <v>0</v>
      </c>
      <c r="AB88" s="11">
        <f>IF(AQ88="1",BH88,0)</f>
        <v>0</v>
      </c>
      <c r="AC88" s="11">
        <f>IF(AQ88="1",BI88,0)</f>
        <v>0</v>
      </c>
      <c r="AD88" s="11">
        <f>IF(AQ88="7",BH88,0)</f>
        <v>0</v>
      </c>
      <c r="AE88" s="11">
        <f>IF(AQ88="7",BI88,0)</f>
        <v>0</v>
      </c>
      <c r="AF88" s="11">
        <f>IF(AQ88="2",BH88,0)</f>
        <v>0</v>
      </c>
      <c r="AG88" s="11">
        <f>IF(AQ88="2",BI88,0)</f>
        <v>0</v>
      </c>
      <c r="AH88" s="11">
        <f>IF(AQ88="0",BJ88,0)</f>
        <v>0</v>
      </c>
      <c r="AI88" s="8"/>
      <c r="AJ88" s="6">
        <f>IF(AN88=0,J88,0)</f>
        <v>0</v>
      </c>
      <c r="AK88" s="6">
        <f>IF(AN88=15,J88,0)</f>
        <v>0</v>
      </c>
      <c r="AL88" s="6">
        <f>IF(AN88=21,J88,0)</f>
        <v>0</v>
      </c>
      <c r="AN88" s="11">
        <v>21</v>
      </c>
      <c r="AO88" s="11">
        <f>G88*0.894029466683382</f>
        <v>0</v>
      </c>
      <c r="AP88" s="11">
        <f>G88*(1-0.894029466683382)</f>
        <v>0</v>
      </c>
      <c r="AQ88" s="12" t="s">
        <v>13</v>
      </c>
      <c r="AV88" s="11">
        <f>AW88+AX88</f>
        <v>0</v>
      </c>
      <c r="AW88" s="11">
        <f>F88*AO88</f>
        <v>0</v>
      </c>
      <c r="AX88" s="11">
        <f>F88*AP88</f>
        <v>0</v>
      </c>
      <c r="AY88" s="14" t="s">
        <v>609</v>
      </c>
      <c r="AZ88" s="14" t="s">
        <v>625</v>
      </c>
      <c r="BA88" s="8" t="s">
        <v>629</v>
      </c>
      <c r="BC88" s="11">
        <f>AW88+AX88</f>
        <v>0</v>
      </c>
      <c r="BD88" s="11">
        <f>G88/(100-BE88)*100</f>
        <v>0</v>
      </c>
      <c r="BE88" s="11">
        <v>0</v>
      </c>
      <c r="BF88" s="11">
        <f>L88</f>
        <v>0.01304</v>
      </c>
      <c r="BH88" s="6">
        <f>F88*AO88</f>
        <v>0</v>
      </c>
      <c r="BI88" s="6">
        <f>F88*AP88</f>
        <v>0</v>
      </c>
      <c r="BJ88" s="6">
        <f>F88*G88</f>
        <v>0</v>
      </c>
      <c r="BK88" s="6" t="s">
        <v>634</v>
      </c>
      <c r="BL88" s="11">
        <v>721</v>
      </c>
    </row>
    <row r="89" spans="1:14" ht="12.75">
      <c r="A89" s="131"/>
      <c r="B89" s="132"/>
      <c r="C89" s="133" t="s">
        <v>14</v>
      </c>
      <c r="D89" s="134" t="s">
        <v>549</v>
      </c>
      <c r="E89" s="132"/>
      <c r="F89" s="135">
        <v>8</v>
      </c>
      <c r="G89" s="173"/>
      <c r="H89" s="132"/>
      <c r="I89" s="132"/>
      <c r="J89" s="132"/>
      <c r="K89" s="132"/>
      <c r="L89" s="132"/>
      <c r="M89" s="136"/>
      <c r="N89" s="1"/>
    </row>
    <row r="90" spans="1:64" ht="12.75">
      <c r="A90" s="126" t="s">
        <v>36</v>
      </c>
      <c r="B90" s="127" t="s">
        <v>169</v>
      </c>
      <c r="C90" s="242" t="s">
        <v>332</v>
      </c>
      <c r="D90" s="243"/>
      <c r="E90" s="127" t="s">
        <v>568</v>
      </c>
      <c r="F90" s="128">
        <v>0.615</v>
      </c>
      <c r="G90" s="174"/>
      <c r="H90" s="129">
        <f>F90*AO90</f>
        <v>0</v>
      </c>
      <c r="I90" s="129">
        <f>F90*AP90</f>
        <v>0</v>
      </c>
      <c r="J90" s="129">
        <f>F90*G90</f>
        <v>0</v>
      </c>
      <c r="K90" s="129">
        <v>0</v>
      </c>
      <c r="L90" s="129">
        <f>F90*K90</f>
        <v>0</v>
      </c>
      <c r="M90" s="130" t="s">
        <v>593</v>
      </c>
      <c r="N90" s="1"/>
      <c r="Z90" s="11">
        <f>IF(AQ90="5",BJ90,0)</f>
        <v>0</v>
      </c>
      <c r="AB90" s="11">
        <f>IF(AQ90="1",BH90,0)</f>
        <v>0</v>
      </c>
      <c r="AC90" s="11">
        <f>IF(AQ90="1",BI90,0)</f>
        <v>0</v>
      </c>
      <c r="AD90" s="11">
        <f>IF(AQ90="7",BH90,0)</f>
        <v>0</v>
      </c>
      <c r="AE90" s="11">
        <f>IF(AQ90="7",BI90,0)</f>
        <v>0</v>
      </c>
      <c r="AF90" s="11">
        <f>IF(AQ90="2",BH90,0)</f>
        <v>0</v>
      </c>
      <c r="AG90" s="11">
        <f>IF(AQ90="2",BI90,0)</f>
        <v>0</v>
      </c>
      <c r="AH90" s="11">
        <f>IF(AQ90="0",BJ90,0)</f>
        <v>0</v>
      </c>
      <c r="AI90" s="8"/>
      <c r="AJ90" s="6">
        <f>IF(AN90=0,J90,0)</f>
        <v>0</v>
      </c>
      <c r="AK90" s="6">
        <f>IF(AN90=15,J90,0)</f>
        <v>0</v>
      </c>
      <c r="AL90" s="6">
        <f>IF(AN90=21,J90,0)</f>
        <v>0</v>
      </c>
      <c r="AN90" s="11">
        <v>21</v>
      </c>
      <c r="AO90" s="11">
        <f>G90*0</f>
        <v>0</v>
      </c>
      <c r="AP90" s="11">
        <f>G90*(1-0)</f>
        <v>0</v>
      </c>
      <c r="AQ90" s="12" t="s">
        <v>11</v>
      </c>
      <c r="AV90" s="11">
        <f>AW90+AX90</f>
        <v>0</v>
      </c>
      <c r="AW90" s="11">
        <f>F90*AO90</f>
        <v>0</v>
      </c>
      <c r="AX90" s="11">
        <f>F90*AP90</f>
        <v>0</v>
      </c>
      <c r="AY90" s="14" t="s">
        <v>609</v>
      </c>
      <c r="AZ90" s="14" t="s">
        <v>625</v>
      </c>
      <c r="BA90" s="8" t="s">
        <v>629</v>
      </c>
      <c r="BC90" s="11">
        <f>AW90+AX90</f>
        <v>0</v>
      </c>
      <c r="BD90" s="11">
        <f>G90/(100-BE90)*100</f>
        <v>0</v>
      </c>
      <c r="BE90" s="11">
        <v>0</v>
      </c>
      <c r="BF90" s="11">
        <f>L90</f>
        <v>0</v>
      </c>
      <c r="BH90" s="6">
        <f>F90*AO90</f>
        <v>0</v>
      </c>
      <c r="BI90" s="6">
        <f>F90*AP90</f>
        <v>0</v>
      </c>
      <c r="BJ90" s="6">
        <f>F90*G90</f>
        <v>0</v>
      </c>
      <c r="BK90" s="6" t="s">
        <v>634</v>
      </c>
      <c r="BL90" s="11">
        <v>721</v>
      </c>
    </row>
    <row r="91" spans="1:47" ht="12.75">
      <c r="A91" s="137"/>
      <c r="B91" s="138" t="s">
        <v>170</v>
      </c>
      <c r="C91" s="244" t="s">
        <v>333</v>
      </c>
      <c r="D91" s="245"/>
      <c r="E91" s="139" t="s">
        <v>6</v>
      </c>
      <c r="F91" s="139" t="s">
        <v>6</v>
      </c>
      <c r="G91" s="139" t="s">
        <v>6</v>
      </c>
      <c r="H91" s="140">
        <f>SUM(H92:H97)</f>
        <v>0</v>
      </c>
      <c r="I91" s="140">
        <f>SUM(I92:I97)</f>
        <v>0</v>
      </c>
      <c r="J91" s="140">
        <f>SUM(J92:J97)</f>
        <v>0</v>
      </c>
      <c r="K91" s="141"/>
      <c r="L91" s="140">
        <f>SUM(L92:L97)</f>
        <v>0.00191</v>
      </c>
      <c r="M91" s="142"/>
      <c r="N91" s="1"/>
      <c r="AI91" s="8"/>
      <c r="AS91" s="16">
        <f>SUM(AJ92:AJ97)</f>
        <v>0</v>
      </c>
      <c r="AT91" s="16">
        <f>SUM(AK92:AK97)</f>
        <v>0</v>
      </c>
      <c r="AU91" s="16">
        <f>SUM(AL92:AL97)</f>
        <v>0</v>
      </c>
    </row>
    <row r="92" spans="1:64" ht="12.75">
      <c r="A92" s="126" t="s">
        <v>37</v>
      </c>
      <c r="B92" s="127" t="s">
        <v>171</v>
      </c>
      <c r="C92" s="242" t="s">
        <v>334</v>
      </c>
      <c r="D92" s="243"/>
      <c r="E92" s="127" t="s">
        <v>564</v>
      </c>
      <c r="F92" s="128">
        <v>1</v>
      </c>
      <c r="G92" s="174"/>
      <c r="H92" s="129">
        <f>F92*AO92</f>
        <v>0</v>
      </c>
      <c r="I92" s="129">
        <f>F92*AP92</f>
        <v>0</v>
      </c>
      <c r="J92" s="129">
        <f>F92*G92</f>
        <v>0</v>
      </c>
      <c r="K92" s="129">
        <v>0.00151</v>
      </c>
      <c r="L92" s="129">
        <f>F92*K92</f>
        <v>0.00151</v>
      </c>
      <c r="M92" s="130" t="s">
        <v>593</v>
      </c>
      <c r="N92" s="1"/>
      <c r="Z92" s="11">
        <f>IF(AQ92="5",BJ92,0)</f>
        <v>0</v>
      </c>
      <c r="AB92" s="11">
        <f>IF(AQ92="1",BH92,0)</f>
        <v>0</v>
      </c>
      <c r="AC92" s="11">
        <f>IF(AQ92="1",BI92,0)</f>
        <v>0</v>
      </c>
      <c r="AD92" s="11">
        <f>IF(AQ92="7",BH92,0)</f>
        <v>0</v>
      </c>
      <c r="AE92" s="11">
        <f>IF(AQ92="7",BI92,0)</f>
        <v>0</v>
      </c>
      <c r="AF92" s="11">
        <f>IF(AQ92="2",BH92,0)</f>
        <v>0</v>
      </c>
      <c r="AG92" s="11">
        <f>IF(AQ92="2",BI92,0)</f>
        <v>0</v>
      </c>
      <c r="AH92" s="11">
        <f>IF(AQ92="0",BJ92,0)</f>
        <v>0</v>
      </c>
      <c r="AI92" s="8"/>
      <c r="AJ92" s="6">
        <f>IF(AN92=0,J92,0)</f>
        <v>0</v>
      </c>
      <c r="AK92" s="6">
        <f>IF(AN92=15,J92,0)</f>
        <v>0</v>
      </c>
      <c r="AL92" s="6">
        <f>IF(AN92=21,J92,0)</f>
        <v>0</v>
      </c>
      <c r="AN92" s="11">
        <v>21</v>
      </c>
      <c r="AO92" s="11">
        <f>G92*0.97138512763596</f>
        <v>0</v>
      </c>
      <c r="AP92" s="11">
        <f>G92*(1-0.97138512763596)</f>
        <v>0</v>
      </c>
      <c r="AQ92" s="12" t="s">
        <v>13</v>
      </c>
      <c r="AV92" s="11">
        <f>AW92+AX92</f>
        <v>0</v>
      </c>
      <c r="AW92" s="11">
        <f>F92*AO92</f>
        <v>0</v>
      </c>
      <c r="AX92" s="11">
        <f>F92*AP92</f>
        <v>0</v>
      </c>
      <c r="AY92" s="14" t="s">
        <v>610</v>
      </c>
      <c r="AZ92" s="14" t="s">
        <v>625</v>
      </c>
      <c r="BA92" s="8" t="s">
        <v>629</v>
      </c>
      <c r="BC92" s="11">
        <f>AW92+AX92</f>
        <v>0</v>
      </c>
      <c r="BD92" s="11">
        <f>G92/(100-BE92)*100</f>
        <v>0</v>
      </c>
      <c r="BE92" s="11">
        <v>0</v>
      </c>
      <c r="BF92" s="11">
        <f>L92</f>
        <v>0.00151</v>
      </c>
      <c r="BH92" s="6">
        <f>F92*AO92</f>
        <v>0</v>
      </c>
      <c r="BI92" s="6">
        <f>F92*AP92</f>
        <v>0</v>
      </c>
      <c r="BJ92" s="6">
        <f>F92*G92</f>
        <v>0</v>
      </c>
      <c r="BK92" s="6" t="s">
        <v>634</v>
      </c>
      <c r="BL92" s="11">
        <v>722</v>
      </c>
    </row>
    <row r="93" spans="1:14" ht="12.75">
      <c r="A93" s="131"/>
      <c r="B93" s="132"/>
      <c r="C93" s="133" t="s">
        <v>7</v>
      </c>
      <c r="D93" s="134"/>
      <c r="E93" s="132"/>
      <c r="F93" s="135">
        <v>1</v>
      </c>
      <c r="G93" s="173"/>
      <c r="H93" s="132"/>
      <c r="I93" s="132"/>
      <c r="J93" s="132"/>
      <c r="K93" s="132"/>
      <c r="L93" s="132"/>
      <c r="M93" s="136"/>
      <c r="N93" s="1"/>
    </row>
    <row r="94" spans="1:64" ht="12.75">
      <c r="A94" s="126" t="s">
        <v>38</v>
      </c>
      <c r="B94" s="127" t="s">
        <v>172</v>
      </c>
      <c r="C94" s="242" t="s">
        <v>335</v>
      </c>
      <c r="D94" s="243"/>
      <c r="E94" s="127" t="s">
        <v>564</v>
      </c>
      <c r="F94" s="128">
        <v>6</v>
      </c>
      <c r="G94" s="174"/>
      <c r="H94" s="129">
        <f>F94*AO94</f>
        <v>0</v>
      </c>
      <c r="I94" s="129">
        <f>F94*AP94</f>
        <v>0</v>
      </c>
      <c r="J94" s="129">
        <f>F94*G94</f>
        <v>0</v>
      </c>
      <c r="K94" s="129">
        <v>0</v>
      </c>
      <c r="L94" s="129">
        <f>F94*K94</f>
        <v>0</v>
      </c>
      <c r="M94" s="130" t="s">
        <v>593</v>
      </c>
      <c r="N94" s="1"/>
      <c r="Z94" s="11">
        <f>IF(AQ94="5",BJ94,0)</f>
        <v>0</v>
      </c>
      <c r="AB94" s="11">
        <f>IF(AQ94="1",BH94,0)</f>
        <v>0</v>
      </c>
      <c r="AC94" s="11">
        <f>IF(AQ94="1",BI94,0)</f>
        <v>0</v>
      </c>
      <c r="AD94" s="11">
        <f>IF(AQ94="7",BH94,0)</f>
        <v>0</v>
      </c>
      <c r="AE94" s="11">
        <f>IF(AQ94="7",BI94,0)</f>
        <v>0</v>
      </c>
      <c r="AF94" s="11">
        <f>IF(AQ94="2",BH94,0)</f>
        <v>0</v>
      </c>
      <c r="AG94" s="11">
        <f>IF(AQ94="2",BI94,0)</f>
        <v>0</v>
      </c>
      <c r="AH94" s="11">
        <f>IF(AQ94="0",BJ94,0)</f>
        <v>0</v>
      </c>
      <c r="AI94" s="8"/>
      <c r="AJ94" s="6">
        <f>IF(AN94=0,J94,0)</f>
        <v>0</v>
      </c>
      <c r="AK94" s="6">
        <f>IF(AN94=15,J94,0)</f>
        <v>0</v>
      </c>
      <c r="AL94" s="6">
        <f>IF(AN94=21,J94,0)</f>
        <v>0</v>
      </c>
      <c r="AN94" s="11">
        <v>21</v>
      </c>
      <c r="AO94" s="11">
        <f>G94*0</f>
        <v>0</v>
      </c>
      <c r="AP94" s="11">
        <f>G94*(1-0)</f>
        <v>0</v>
      </c>
      <c r="AQ94" s="12" t="s">
        <v>13</v>
      </c>
      <c r="AV94" s="11">
        <f>AW94+AX94</f>
        <v>0</v>
      </c>
      <c r="AW94" s="11">
        <f>F94*AO94</f>
        <v>0</v>
      </c>
      <c r="AX94" s="11">
        <f>F94*AP94</f>
        <v>0</v>
      </c>
      <c r="AY94" s="14" t="s">
        <v>610</v>
      </c>
      <c r="AZ94" s="14" t="s">
        <v>625</v>
      </c>
      <c r="BA94" s="8" t="s">
        <v>629</v>
      </c>
      <c r="BC94" s="11">
        <f>AW94+AX94</f>
        <v>0</v>
      </c>
      <c r="BD94" s="11">
        <f>G94/(100-BE94)*100</f>
        <v>0</v>
      </c>
      <c r="BE94" s="11">
        <v>0</v>
      </c>
      <c r="BF94" s="11">
        <f>L94</f>
        <v>0</v>
      </c>
      <c r="BH94" s="6">
        <f>F94*AO94</f>
        <v>0</v>
      </c>
      <c r="BI94" s="6">
        <f>F94*AP94</f>
        <v>0</v>
      </c>
      <c r="BJ94" s="6">
        <f>F94*G94</f>
        <v>0</v>
      </c>
      <c r="BK94" s="6" t="s">
        <v>634</v>
      </c>
      <c r="BL94" s="11">
        <v>722</v>
      </c>
    </row>
    <row r="95" spans="1:14" ht="12.75">
      <c r="A95" s="131"/>
      <c r="B95" s="132"/>
      <c r="C95" s="133" t="s">
        <v>12</v>
      </c>
      <c r="D95" s="134"/>
      <c r="E95" s="132"/>
      <c r="F95" s="135">
        <v>6</v>
      </c>
      <c r="G95" s="173"/>
      <c r="H95" s="132"/>
      <c r="I95" s="132"/>
      <c r="J95" s="132"/>
      <c r="K95" s="132"/>
      <c r="L95" s="132"/>
      <c r="M95" s="136"/>
      <c r="N95" s="1"/>
    </row>
    <row r="96" spans="1:14" ht="12.75">
      <c r="A96" s="131"/>
      <c r="B96" s="150" t="s">
        <v>154</v>
      </c>
      <c r="C96" s="255" t="s">
        <v>336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7"/>
      <c r="N96" s="1"/>
    </row>
    <row r="97" spans="1:64" ht="12.75">
      <c r="A97" s="126" t="s">
        <v>39</v>
      </c>
      <c r="B97" s="127" t="s">
        <v>173</v>
      </c>
      <c r="C97" s="242" t="s">
        <v>337</v>
      </c>
      <c r="D97" s="243"/>
      <c r="E97" s="127" t="s">
        <v>564</v>
      </c>
      <c r="F97" s="128">
        <v>4</v>
      </c>
      <c r="G97" s="174"/>
      <c r="H97" s="129">
        <f>F97*AO97</f>
        <v>0</v>
      </c>
      <c r="I97" s="129">
        <f>F97*AP97</f>
        <v>0</v>
      </c>
      <c r="J97" s="129">
        <f>F97*G97</f>
        <v>0</v>
      </c>
      <c r="K97" s="129">
        <v>0.0001</v>
      </c>
      <c r="L97" s="129">
        <f>F97*K97</f>
        <v>0.0004</v>
      </c>
      <c r="M97" s="130" t="s">
        <v>593</v>
      </c>
      <c r="N97" s="1"/>
      <c r="Z97" s="11">
        <f>IF(AQ97="5",BJ97,0)</f>
        <v>0</v>
      </c>
      <c r="AB97" s="11">
        <f>IF(AQ97="1",BH97,0)</f>
        <v>0</v>
      </c>
      <c r="AC97" s="11">
        <f>IF(AQ97="1",BI97,0)</f>
        <v>0</v>
      </c>
      <c r="AD97" s="11">
        <f>IF(AQ97="7",BH97,0)</f>
        <v>0</v>
      </c>
      <c r="AE97" s="11">
        <f>IF(AQ97="7",BI97,0)</f>
        <v>0</v>
      </c>
      <c r="AF97" s="11">
        <f>IF(AQ97="2",BH97,0)</f>
        <v>0</v>
      </c>
      <c r="AG97" s="11">
        <f>IF(AQ97="2",BI97,0)</f>
        <v>0</v>
      </c>
      <c r="AH97" s="11">
        <f>IF(AQ97="0",BJ97,0)</f>
        <v>0</v>
      </c>
      <c r="AI97" s="8"/>
      <c r="AJ97" s="6">
        <f>IF(AN97=0,J97,0)</f>
        <v>0</v>
      </c>
      <c r="AK97" s="6">
        <f>IF(AN97=15,J97,0)</f>
        <v>0</v>
      </c>
      <c r="AL97" s="6">
        <f>IF(AN97=21,J97,0)</f>
        <v>0</v>
      </c>
      <c r="AN97" s="11">
        <v>21</v>
      </c>
      <c r="AO97" s="11">
        <f>G97*0.561975768872321</f>
        <v>0</v>
      </c>
      <c r="AP97" s="11">
        <f>G97*(1-0.561975768872321)</f>
        <v>0</v>
      </c>
      <c r="AQ97" s="12" t="s">
        <v>13</v>
      </c>
      <c r="AV97" s="11">
        <f>AW97+AX97</f>
        <v>0</v>
      </c>
      <c r="AW97" s="11">
        <f>F97*AO97</f>
        <v>0</v>
      </c>
      <c r="AX97" s="11">
        <f>F97*AP97</f>
        <v>0</v>
      </c>
      <c r="AY97" s="14" t="s">
        <v>610</v>
      </c>
      <c r="AZ97" s="14" t="s">
        <v>625</v>
      </c>
      <c r="BA97" s="8" t="s">
        <v>629</v>
      </c>
      <c r="BC97" s="11">
        <f>AW97+AX97</f>
        <v>0</v>
      </c>
      <c r="BD97" s="11">
        <f>G97/(100-BE97)*100</f>
        <v>0</v>
      </c>
      <c r="BE97" s="11">
        <v>0</v>
      </c>
      <c r="BF97" s="11">
        <f>L97</f>
        <v>0.0004</v>
      </c>
      <c r="BH97" s="6">
        <f>F97*AO97</f>
        <v>0</v>
      </c>
      <c r="BI97" s="6">
        <f>F97*AP97</f>
        <v>0</v>
      </c>
      <c r="BJ97" s="6">
        <f>F97*G97</f>
        <v>0</v>
      </c>
      <c r="BK97" s="6" t="s">
        <v>634</v>
      </c>
      <c r="BL97" s="11">
        <v>722</v>
      </c>
    </row>
    <row r="98" spans="1:14" ht="12.75">
      <c r="A98" s="131"/>
      <c r="B98" s="132"/>
      <c r="C98" s="133" t="s">
        <v>10</v>
      </c>
      <c r="D98" s="134"/>
      <c r="E98" s="132"/>
      <c r="F98" s="135">
        <v>4</v>
      </c>
      <c r="G98" s="173"/>
      <c r="H98" s="132"/>
      <c r="I98" s="132"/>
      <c r="J98" s="132"/>
      <c r="K98" s="132"/>
      <c r="L98" s="132"/>
      <c r="M98" s="136"/>
      <c r="N98" s="1"/>
    </row>
    <row r="99" spans="1:47" ht="12.75">
      <c r="A99" s="137"/>
      <c r="B99" s="138" t="s">
        <v>174</v>
      </c>
      <c r="C99" s="244" t="s">
        <v>338</v>
      </c>
      <c r="D99" s="245"/>
      <c r="E99" s="139" t="s">
        <v>6</v>
      </c>
      <c r="F99" s="139" t="s">
        <v>6</v>
      </c>
      <c r="G99" s="139" t="s">
        <v>6</v>
      </c>
      <c r="H99" s="140">
        <f>SUM(H100:H108)</f>
        <v>0</v>
      </c>
      <c r="I99" s="140">
        <f>SUM(I100:I108)</f>
        <v>0</v>
      </c>
      <c r="J99" s="140">
        <f>SUM(J100:J108)</f>
        <v>0</v>
      </c>
      <c r="K99" s="141"/>
      <c r="L99" s="140">
        <f>SUM(L100:L108)</f>
        <v>2.33900335</v>
      </c>
      <c r="M99" s="142"/>
      <c r="N99" s="1"/>
      <c r="AI99" s="8"/>
      <c r="AS99" s="16">
        <f>SUM(AJ100:AJ108)</f>
        <v>0</v>
      </c>
      <c r="AT99" s="16">
        <f>SUM(AK100:AK108)</f>
        <v>0</v>
      </c>
      <c r="AU99" s="16">
        <f>SUM(AL100:AL108)</f>
        <v>0</v>
      </c>
    </row>
    <row r="100" spans="1:64" ht="12.75">
      <c r="A100" s="126" t="s">
        <v>40</v>
      </c>
      <c r="B100" s="127" t="s">
        <v>175</v>
      </c>
      <c r="C100" s="242" t="s">
        <v>339</v>
      </c>
      <c r="D100" s="243"/>
      <c r="E100" s="127" t="s">
        <v>565</v>
      </c>
      <c r="F100" s="128">
        <v>149.689</v>
      </c>
      <c r="G100" s="174"/>
      <c r="H100" s="129">
        <f>F100*AO100</f>
        <v>0</v>
      </c>
      <c r="I100" s="129">
        <f>F100*AP100</f>
        <v>0</v>
      </c>
      <c r="J100" s="129">
        <f>F100*G100</f>
        <v>0</v>
      </c>
      <c r="K100" s="129">
        <v>0.015</v>
      </c>
      <c r="L100" s="129">
        <f>F100*K100</f>
        <v>2.245335</v>
      </c>
      <c r="M100" s="130" t="s">
        <v>593</v>
      </c>
      <c r="N100" s="1"/>
      <c r="Z100" s="11">
        <f>IF(AQ100="5",BJ100,0)</f>
        <v>0</v>
      </c>
      <c r="AB100" s="11">
        <f>IF(AQ100="1",BH100,0)</f>
        <v>0</v>
      </c>
      <c r="AC100" s="11">
        <f>IF(AQ100="1",BI100,0)</f>
        <v>0</v>
      </c>
      <c r="AD100" s="11">
        <f>IF(AQ100="7",BH100,0)</f>
        <v>0</v>
      </c>
      <c r="AE100" s="11">
        <f>IF(AQ100="7",BI100,0)</f>
        <v>0</v>
      </c>
      <c r="AF100" s="11">
        <f>IF(AQ100="2",BH100,0)</f>
        <v>0</v>
      </c>
      <c r="AG100" s="11">
        <f>IF(AQ100="2",BI100,0)</f>
        <v>0</v>
      </c>
      <c r="AH100" s="11">
        <f>IF(AQ100="0",BJ100,0)</f>
        <v>0</v>
      </c>
      <c r="AI100" s="8"/>
      <c r="AJ100" s="6">
        <f>IF(AN100=0,J100,0)</f>
        <v>0</v>
      </c>
      <c r="AK100" s="6">
        <f>IF(AN100=15,J100,0)</f>
        <v>0</v>
      </c>
      <c r="AL100" s="6">
        <f>IF(AN100=21,J100,0)</f>
        <v>0</v>
      </c>
      <c r="AN100" s="11">
        <v>21</v>
      </c>
      <c r="AO100" s="11">
        <f>G100*0</f>
        <v>0</v>
      </c>
      <c r="AP100" s="11">
        <f>G100*(1-0)</f>
        <v>0</v>
      </c>
      <c r="AQ100" s="12" t="s">
        <v>13</v>
      </c>
      <c r="AV100" s="11">
        <f>AW100+AX100</f>
        <v>0</v>
      </c>
      <c r="AW100" s="11">
        <f>F100*AO100</f>
        <v>0</v>
      </c>
      <c r="AX100" s="11">
        <f>F100*AP100</f>
        <v>0</v>
      </c>
      <c r="AY100" s="14" t="s">
        <v>611</v>
      </c>
      <c r="AZ100" s="14" t="s">
        <v>626</v>
      </c>
      <c r="BA100" s="8" t="s">
        <v>629</v>
      </c>
      <c r="BC100" s="11">
        <f>AW100+AX100</f>
        <v>0</v>
      </c>
      <c r="BD100" s="11">
        <f>G100/(100-BE100)*100</f>
        <v>0</v>
      </c>
      <c r="BE100" s="11">
        <v>0</v>
      </c>
      <c r="BF100" s="11">
        <f>L100</f>
        <v>2.245335</v>
      </c>
      <c r="BH100" s="6">
        <f>F100*AO100</f>
        <v>0</v>
      </c>
      <c r="BI100" s="6">
        <f>F100*AP100</f>
        <v>0</v>
      </c>
      <c r="BJ100" s="6">
        <f>F100*G100</f>
        <v>0</v>
      </c>
      <c r="BK100" s="6" t="s">
        <v>634</v>
      </c>
      <c r="BL100" s="11">
        <v>762</v>
      </c>
    </row>
    <row r="101" spans="1:14" ht="12.75">
      <c r="A101" s="131"/>
      <c r="B101" s="132"/>
      <c r="C101" s="133" t="s">
        <v>323</v>
      </c>
      <c r="D101" s="134" t="s">
        <v>546</v>
      </c>
      <c r="E101" s="132"/>
      <c r="F101" s="135">
        <v>149.689</v>
      </c>
      <c r="G101" s="173"/>
      <c r="H101" s="132"/>
      <c r="I101" s="132"/>
      <c r="J101" s="132"/>
      <c r="K101" s="132"/>
      <c r="L101" s="132"/>
      <c r="M101" s="136"/>
      <c r="N101" s="1"/>
    </row>
    <row r="102" spans="1:64" ht="12.75">
      <c r="A102" s="126" t="s">
        <v>41</v>
      </c>
      <c r="B102" s="127" t="s">
        <v>176</v>
      </c>
      <c r="C102" s="242" t="s">
        <v>340</v>
      </c>
      <c r="D102" s="243"/>
      <c r="E102" s="127" t="s">
        <v>565</v>
      </c>
      <c r="F102" s="128">
        <v>149.689</v>
      </c>
      <c r="G102" s="174"/>
      <c r="H102" s="129">
        <f>F102*AO102</f>
        <v>0</v>
      </c>
      <c r="I102" s="129">
        <f>F102*AP102</f>
        <v>0</v>
      </c>
      <c r="J102" s="129">
        <f>F102*G102</f>
        <v>0</v>
      </c>
      <c r="K102" s="129">
        <v>0</v>
      </c>
      <c r="L102" s="129">
        <f>F102*K102</f>
        <v>0</v>
      </c>
      <c r="M102" s="130" t="s">
        <v>593</v>
      </c>
      <c r="N102" s="1"/>
      <c r="Z102" s="11">
        <f>IF(AQ102="5",BJ102,0)</f>
        <v>0</v>
      </c>
      <c r="AB102" s="11">
        <f>IF(AQ102="1",BH102,0)</f>
        <v>0</v>
      </c>
      <c r="AC102" s="11">
        <f>IF(AQ102="1",BI102,0)</f>
        <v>0</v>
      </c>
      <c r="AD102" s="11">
        <f>IF(AQ102="7",BH102,0)</f>
        <v>0</v>
      </c>
      <c r="AE102" s="11">
        <f>IF(AQ102="7",BI102,0)</f>
        <v>0</v>
      </c>
      <c r="AF102" s="11">
        <f>IF(AQ102="2",BH102,0)</f>
        <v>0</v>
      </c>
      <c r="AG102" s="11">
        <f>IF(AQ102="2",BI102,0)</f>
        <v>0</v>
      </c>
      <c r="AH102" s="11">
        <f>IF(AQ102="0",BJ102,0)</f>
        <v>0</v>
      </c>
      <c r="AI102" s="8"/>
      <c r="AJ102" s="6">
        <f>IF(AN102=0,J102,0)</f>
        <v>0</v>
      </c>
      <c r="AK102" s="6">
        <f>IF(AN102=15,J102,0)</f>
        <v>0</v>
      </c>
      <c r="AL102" s="6">
        <f>IF(AN102=21,J102,0)</f>
        <v>0</v>
      </c>
      <c r="AN102" s="11">
        <v>21</v>
      </c>
      <c r="AO102" s="11">
        <f>G102*0</f>
        <v>0</v>
      </c>
      <c r="AP102" s="11">
        <f>G102*(1-0)</f>
        <v>0</v>
      </c>
      <c r="AQ102" s="12" t="s">
        <v>13</v>
      </c>
      <c r="AV102" s="11">
        <f>AW102+AX102</f>
        <v>0</v>
      </c>
      <c r="AW102" s="11">
        <f>F102*AO102</f>
        <v>0</v>
      </c>
      <c r="AX102" s="11">
        <f>F102*AP102</f>
        <v>0</v>
      </c>
      <c r="AY102" s="14" t="s">
        <v>611</v>
      </c>
      <c r="AZ102" s="14" t="s">
        <v>626</v>
      </c>
      <c r="BA102" s="8" t="s">
        <v>629</v>
      </c>
      <c r="BC102" s="11">
        <f>AW102+AX102</f>
        <v>0</v>
      </c>
      <c r="BD102" s="11">
        <f>G102/(100-BE102)*100</f>
        <v>0</v>
      </c>
      <c r="BE102" s="11">
        <v>0</v>
      </c>
      <c r="BF102" s="11">
        <f>L102</f>
        <v>0</v>
      </c>
      <c r="BH102" s="6">
        <f>F102*AO102</f>
        <v>0</v>
      </c>
      <c r="BI102" s="6">
        <f>F102*AP102</f>
        <v>0</v>
      </c>
      <c r="BJ102" s="6">
        <f>F102*G102</f>
        <v>0</v>
      </c>
      <c r="BK102" s="6" t="s">
        <v>634</v>
      </c>
      <c r="BL102" s="11">
        <v>762</v>
      </c>
    </row>
    <row r="103" spans="1:14" ht="12.75">
      <c r="A103" s="131"/>
      <c r="B103" s="132"/>
      <c r="C103" s="133" t="s">
        <v>323</v>
      </c>
      <c r="D103" s="134" t="s">
        <v>546</v>
      </c>
      <c r="E103" s="132"/>
      <c r="F103" s="135">
        <v>149.689</v>
      </c>
      <c r="G103" s="173"/>
      <c r="H103" s="132"/>
      <c r="I103" s="132"/>
      <c r="J103" s="132"/>
      <c r="K103" s="132"/>
      <c r="L103" s="132"/>
      <c r="M103" s="136"/>
      <c r="N103" s="1"/>
    </row>
    <row r="104" spans="1:64" ht="12.75">
      <c r="A104" s="126" t="s">
        <v>42</v>
      </c>
      <c r="B104" s="127" t="s">
        <v>177</v>
      </c>
      <c r="C104" s="242" t="s">
        <v>341</v>
      </c>
      <c r="D104" s="243"/>
      <c r="E104" s="127" t="s">
        <v>565</v>
      </c>
      <c r="F104" s="128">
        <v>149.689</v>
      </c>
      <c r="G104" s="174"/>
      <c r="H104" s="129">
        <f>F104*AO104</f>
        <v>0</v>
      </c>
      <c r="I104" s="129">
        <f>F104*AP104</f>
        <v>0</v>
      </c>
      <c r="J104" s="129">
        <f>F104*G104</f>
        <v>0</v>
      </c>
      <c r="K104" s="129">
        <v>6E-05</v>
      </c>
      <c r="L104" s="129">
        <f>F104*K104</f>
        <v>0.008981339999999999</v>
      </c>
      <c r="M104" s="130" t="s">
        <v>593</v>
      </c>
      <c r="N104" s="1"/>
      <c r="Z104" s="11">
        <f>IF(AQ104="5",BJ104,0)</f>
        <v>0</v>
      </c>
      <c r="AB104" s="11">
        <f>IF(AQ104="1",BH104,0)</f>
        <v>0</v>
      </c>
      <c r="AC104" s="11">
        <f>IF(AQ104="1",BI104,0)</f>
        <v>0</v>
      </c>
      <c r="AD104" s="11">
        <f>IF(AQ104="7",BH104,0)</f>
        <v>0</v>
      </c>
      <c r="AE104" s="11">
        <f>IF(AQ104="7",BI104,0)</f>
        <v>0</v>
      </c>
      <c r="AF104" s="11">
        <f>IF(AQ104="2",BH104,0)</f>
        <v>0</v>
      </c>
      <c r="AG104" s="11">
        <f>IF(AQ104="2",BI104,0)</f>
        <v>0</v>
      </c>
      <c r="AH104" s="11">
        <f>IF(AQ104="0",BJ104,0)</f>
        <v>0</v>
      </c>
      <c r="AI104" s="8"/>
      <c r="AJ104" s="6">
        <f>IF(AN104=0,J104,0)</f>
        <v>0</v>
      </c>
      <c r="AK104" s="6">
        <f>IF(AN104=15,J104,0)</f>
        <v>0</v>
      </c>
      <c r="AL104" s="6">
        <f>IF(AN104=21,J104,0)</f>
        <v>0</v>
      </c>
      <c r="AN104" s="11">
        <v>21</v>
      </c>
      <c r="AO104" s="11">
        <f>G104*0.70785579175912</f>
        <v>0</v>
      </c>
      <c r="AP104" s="11">
        <f>G104*(1-0.70785579175912)</f>
        <v>0</v>
      </c>
      <c r="AQ104" s="12" t="s">
        <v>13</v>
      </c>
      <c r="AV104" s="11">
        <f>AW104+AX104</f>
        <v>0</v>
      </c>
      <c r="AW104" s="11">
        <f>F104*AO104</f>
        <v>0</v>
      </c>
      <c r="AX104" s="11">
        <f>F104*AP104</f>
        <v>0</v>
      </c>
      <c r="AY104" s="14" t="s">
        <v>611</v>
      </c>
      <c r="AZ104" s="14" t="s">
        <v>626</v>
      </c>
      <c r="BA104" s="8" t="s">
        <v>629</v>
      </c>
      <c r="BC104" s="11">
        <f>AW104+AX104</f>
        <v>0</v>
      </c>
      <c r="BD104" s="11">
        <f>G104/(100-BE104)*100</f>
        <v>0</v>
      </c>
      <c r="BE104" s="11">
        <v>0</v>
      </c>
      <c r="BF104" s="11">
        <f>L104</f>
        <v>0.008981339999999999</v>
      </c>
      <c r="BH104" s="6">
        <f>F104*AO104</f>
        <v>0</v>
      </c>
      <c r="BI104" s="6">
        <f>F104*AP104</f>
        <v>0</v>
      </c>
      <c r="BJ104" s="6">
        <f>F104*G104</f>
        <v>0</v>
      </c>
      <c r="BK104" s="6" t="s">
        <v>634</v>
      </c>
      <c r="BL104" s="11">
        <v>762</v>
      </c>
    </row>
    <row r="105" spans="1:14" ht="12.75">
      <c r="A105" s="131"/>
      <c r="B105" s="132"/>
      <c r="C105" s="133" t="s">
        <v>342</v>
      </c>
      <c r="D105" s="134"/>
      <c r="E105" s="132"/>
      <c r="F105" s="135">
        <v>149.689</v>
      </c>
      <c r="G105" s="173"/>
      <c r="H105" s="132"/>
      <c r="I105" s="132"/>
      <c r="J105" s="132"/>
      <c r="K105" s="132"/>
      <c r="L105" s="132"/>
      <c r="M105" s="136"/>
      <c r="N105" s="1"/>
    </row>
    <row r="106" spans="1:64" ht="12.75">
      <c r="A106" s="126" t="s">
        <v>43</v>
      </c>
      <c r="B106" s="127" t="s">
        <v>178</v>
      </c>
      <c r="C106" s="242" t="s">
        <v>343</v>
      </c>
      <c r="D106" s="243"/>
      <c r="E106" s="127" t="s">
        <v>566</v>
      </c>
      <c r="F106" s="128">
        <v>3.593</v>
      </c>
      <c r="G106" s="174"/>
      <c r="H106" s="129">
        <f>F106*AO106</f>
        <v>0</v>
      </c>
      <c r="I106" s="129">
        <f>F106*AP106</f>
        <v>0</v>
      </c>
      <c r="J106" s="129">
        <f>F106*G106</f>
        <v>0</v>
      </c>
      <c r="K106" s="129">
        <v>0.02357</v>
      </c>
      <c r="L106" s="129">
        <f>F106*K106</f>
        <v>0.08468701000000001</v>
      </c>
      <c r="M106" s="130" t="s">
        <v>593</v>
      </c>
      <c r="N106" s="1"/>
      <c r="Z106" s="11">
        <f>IF(AQ106="5",BJ106,0)</f>
        <v>0</v>
      </c>
      <c r="AB106" s="11">
        <f>IF(AQ106="1",BH106,0)</f>
        <v>0</v>
      </c>
      <c r="AC106" s="11">
        <f>IF(AQ106="1",BI106,0)</f>
        <v>0</v>
      </c>
      <c r="AD106" s="11">
        <f>IF(AQ106="7",BH106,0)</f>
        <v>0</v>
      </c>
      <c r="AE106" s="11">
        <f>IF(AQ106="7",BI106,0)</f>
        <v>0</v>
      </c>
      <c r="AF106" s="11">
        <f>IF(AQ106="2",BH106,0)</f>
        <v>0</v>
      </c>
      <c r="AG106" s="11">
        <f>IF(AQ106="2",BI106,0)</f>
        <v>0</v>
      </c>
      <c r="AH106" s="11">
        <f>IF(AQ106="0",BJ106,0)</f>
        <v>0</v>
      </c>
      <c r="AI106" s="8"/>
      <c r="AJ106" s="6">
        <f>IF(AN106=0,J106,0)</f>
        <v>0</v>
      </c>
      <c r="AK106" s="6">
        <f>IF(AN106=15,J106,0)</f>
        <v>0</v>
      </c>
      <c r="AL106" s="6">
        <f>IF(AN106=21,J106,0)</f>
        <v>0</v>
      </c>
      <c r="AN106" s="11">
        <v>21</v>
      </c>
      <c r="AO106" s="11">
        <f>G106*0.99999975216484</f>
        <v>0</v>
      </c>
      <c r="AP106" s="11">
        <f>G106*(1-0.99999975216484)</f>
        <v>0</v>
      </c>
      <c r="AQ106" s="12" t="s">
        <v>13</v>
      </c>
      <c r="AV106" s="11">
        <f>AW106+AX106</f>
        <v>0</v>
      </c>
      <c r="AW106" s="11">
        <f>F106*AO106</f>
        <v>0</v>
      </c>
      <c r="AX106" s="11">
        <f>F106*AP106</f>
        <v>0</v>
      </c>
      <c r="AY106" s="14" t="s">
        <v>611</v>
      </c>
      <c r="AZ106" s="14" t="s">
        <v>626</v>
      </c>
      <c r="BA106" s="8" t="s">
        <v>629</v>
      </c>
      <c r="BC106" s="11">
        <f>AW106+AX106</f>
        <v>0</v>
      </c>
      <c r="BD106" s="11">
        <f>G106/(100-BE106)*100</f>
        <v>0</v>
      </c>
      <c r="BE106" s="11">
        <v>0</v>
      </c>
      <c r="BF106" s="11">
        <f>L106</f>
        <v>0.08468701000000001</v>
      </c>
      <c r="BH106" s="6">
        <f>F106*AO106</f>
        <v>0</v>
      </c>
      <c r="BI106" s="6">
        <f>F106*AP106</f>
        <v>0</v>
      </c>
      <c r="BJ106" s="6">
        <f>F106*G106</f>
        <v>0</v>
      </c>
      <c r="BK106" s="6" t="s">
        <v>634</v>
      </c>
      <c r="BL106" s="11">
        <v>762</v>
      </c>
    </row>
    <row r="107" spans="1:14" ht="12.75">
      <c r="A107" s="131"/>
      <c r="B107" s="132"/>
      <c r="C107" s="133" t="s">
        <v>344</v>
      </c>
      <c r="D107" s="134"/>
      <c r="E107" s="132"/>
      <c r="F107" s="135">
        <v>3.593</v>
      </c>
      <c r="G107" s="173"/>
      <c r="H107" s="132"/>
      <c r="I107" s="132"/>
      <c r="J107" s="132"/>
      <c r="K107" s="132"/>
      <c r="L107" s="132"/>
      <c r="M107" s="136"/>
      <c r="N107" s="1"/>
    </row>
    <row r="108" spans="1:64" ht="12.75">
      <c r="A108" s="126" t="s">
        <v>44</v>
      </c>
      <c r="B108" s="127" t="s">
        <v>179</v>
      </c>
      <c r="C108" s="242" t="s">
        <v>345</v>
      </c>
      <c r="D108" s="243"/>
      <c r="E108" s="127" t="s">
        <v>568</v>
      </c>
      <c r="F108" s="128">
        <v>2.339</v>
      </c>
      <c r="G108" s="174"/>
      <c r="H108" s="129">
        <f>F108*AO108</f>
        <v>0</v>
      </c>
      <c r="I108" s="129">
        <f>F108*AP108</f>
        <v>0</v>
      </c>
      <c r="J108" s="129">
        <f>F108*G108</f>
        <v>0</v>
      </c>
      <c r="K108" s="129">
        <v>0</v>
      </c>
      <c r="L108" s="129">
        <f>F108*K108</f>
        <v>0</v>
      </c>
      <c r="M108" s="130" t="s">
        <v>593</v>
      </c>
      <c r="N108" s="1"/>
      <c r="Z108" s="11">
        <f>IF(AQ108="5",BJ108,0)</f>
        <v>0</v>
      </c>
      <c r="AB108" s="11">
        <f>IF(AQ108="1",BH108,0)</f>
        <v>0</v>
      </c>
      <c r="AC108" s="11">
        <f>IF(AQ108="1",BI108,0)</f>
        <v>0</v>
      </c>
      <c r="AD108" s="11">
        <f>IF(AQ108="7",BH108,0)</f>
        <v>0</v>
      </c>
      <c r="AE108" s="11">
        <f>IF(AQ108="7",BI108,0)</f>
        <v>0</v>
      </c>
      <c r="AF108" s="11">
        <f>IF(AQ108="2",BH108,0)</f>
        <v>0</v>
      </c>
      <c r="AG108" s="11">
        <f>IF(AQ108="2",BI108,0)</f>
        <v>0</v>
      </c>
      <c r="AH108" s="11">
        <f>IF(AQ108="0",BJ108,0)</f>
        <v>0</v>
      </c>
      <c r="AI108" s="8"/>
      <c r="AJ108" s="6">
        <f>IF(AN108=0,J108,0)</f>
        <v>0</v>
      </c>
      <c r="AK108" s="6">
        <f>IF(AN108=15,J108,0)</f>
        <v>0</v>
      </c>
      <c r="AL108" s="6">
        <f>IF(AN108=21,J108,0)</f>
        <v>0</v>
      </c>
      <c r="AN108" s="11">
        <v>21</v>
      </c>
      <c r="AO108" s="11">
        <f>G108*0</f>
        <v>0</v>
      </c>
      <c r="AP108" s="11">
        <f>G108*(1-0)</f>
        <v>0</v>
      </c>
      <c r="AQ108" s="12" t="s">
        <v>11</v>
      </c>
      <c r="AV108" s="11">
        <f>AW108+AX108</f>
        <v>0</v>
      </c>
      <c r="AW108" s="11">
        <f>F108*AO108</f>
        <v>0</v>
      </c>
      <c r="AX108" s="11">
        <f>F108*AP108</f>
        <v>0</v>
      </c>
      <c r="AY108" s="14" t="s">
        <v>611</v>
      </c>
      <c r="AZ108" s="14" t="s">
        <v>626</v>
      </c>
      <c r="BA108" s="8" t="s">
        <v>629</v>
      </c>
      <c r="BC108" s="11">
        <f>AW108+AX108</f>
        <v>0</v>
      </c>
      <c r="BD108" s="11">
        <f>G108/(100-BE108)*100</f>
        <v>0</v>
      </c>
      <c r="BE108" s="11">
        <v>0</v>
      </c>
      <c r="BF108" s="11">
        <f>L108</f>
        <v>0</v>
      </c>
      <c r="BH108" s="6">
        <f>F108*AO108</f>
        <v>0</v>
      </c>
      <c r="BI108" s="6">
        <f>F108*AP108</f>
        <v>0</v>
      </c>
      <c r="BJ108" s="6">
        <f>F108*G108</f>
        <v>0</v>
      </c>
      <c r="BK108" s="6" t="s">
        <v>634</v>
      </c>
      <c r="BL108" s="11">
        <v>762</v>
      </c>
    </row>
    <row r="109" spans="1:47" ht="12.75">
      <c r="A109" s="137"/>
      <c r="B109" s="138" t="s">
        <v>180</v>
      </c>
      <c r="C109" s="244" t="s">
        <v>346</v>
      </c>
      <c r="D109" s="245"/>
      <c r="E109" s="139" t="s">
        <v>6</v>
      </c>
      <c r="F109" s="139" t="s">
        <v>6</v>
      </c>
      <c r="G109" s="139" t="s">
        <v>6</v>
      </c>
      <c r="H109" s="140">
        <f>SUM(H110:H175)</f>
        <v>0</v>
      </c>
      <c r="I109" s="140">
        <f>SUM(I110:I175)</f>
        <v>0</v>
      </c>
      <c r="J109" s="140">
        <f>SUM(J110:J175)</f>
        <v>0</v>
      </c>
      <c r="K109" s="141"/>
      <c r="L109" s="140">
        <f>SUM(L110:L175)</f>
        <v>8.869150120000002</v>
      </c>
      <c r="M109" s="142"/>
      <c r="N109" s="1"/>
      <c r="AI109" s="8"/>
      <c r="AS109" s="16">
        <f>SUM(AJ110:AJ175)</f>
        <v>0</v>
      </c>
      <c r="AT109" s="16">
        <f>SUM(AK110:AK175)</f>
        <v>0</v>
      </c>
      <c r="AU109" s="16">
        <f>SUM(AL110:AL175)</f>
        <v>0</v>
      </c>
    </row>
    <row r="110" spans="1:64" ht="12.75">
      <c r="A110" s="126" t="s">
        <v>45</v>
      </c>
      <c r="B110" s="127" t="s">
        <v>181</v>
      </c>
      <c r="C110" s="242" t="s">
        <v>347</v>
      </c>
      <c r="D110" s="243"/>
      <c r="E110" s="127" t="s">
        <v>565</v>
      </c>
      <c r="F110" s="128">
        <v>149.689</v>
      </c>
      <c r="G110" s="174"/>
      <c r="H110" s="129">
        <f>F110*AO110</f>
        <v>0</v>
      </c>
      <c r="I110" s="129">
        <f>F110*AP110</f>
        <v>0</v>
      </c>
      <c r="J110" s="129">
        <f>F110*G110</f>
        <v>0</v>
      </c>
      <c r="K110" s="129">
        <v>0.00878</v>
      </c>
      <c r="L110" s="129">
        <f>F110*K110</f>
        <v>1.3142694199999998</v>
      </c>
      <c r="M110" s="130" t="s">
        <v>593</v>
      </c>
      <c r="N110" s="1"/>
      <c r="Z110" s="11">
        <f>IF(AQ110="5",BJ110,0)</f>
        <v>0</v>
      </c>
      <c r="AB110" s="11">
        <f>IF(AQ110="1",BH110,0)</f>
        <v>0</v>
      </c>
      <c r="AC110" s="11">
        <f>IF(AQ110="1",BI110,0)</f>
        <v>0</v>
      </c>
      <c r="AD110" s="11">
        <f>IF(AQ110="7",BH110,0)</f>
        <v>0</v>
      </c>
      <c r="AE110" s="11">
        <f>IF(AQ110="7",BI110,0)</f>
        <v>0</v>
      </c>
      <c r="AF110" s="11">
        <f>IF(AQ110="2",BH110,0)</f>
        <v>0</v>
      </c>
      <c r="AG110" s="11">
        <f>IF(AQ110="2",BI110,0)</f>
        <v>0</v>
      </c>
      <c r="AH110" s="11">
        <f>IF(AQ110="0",BJ110,0)</f>
        <v>0</v>
      </c>
      <c r="AI110" s="8"/>
      <c r="AJ110" s="6">
        <f>IF(AN110=0,J110,0)</f>
        <v>0</v>
      </c>
      <c r="AK110" s="6">
        <f>IF(AN110=15,J110,0)</f>
        <v>0</v>
      </c>
      <c r="AL110" s="6">
        <f>IF(AN110=21,J110,0)</f>
        <v>0</v>
      </c>
      <c r="AN110" s="11">
        <v>21</v>
      </c>
      <c r="AO110" s="11">
        <f>G110*0</f>
        <v>0</v>
      </c>
      <c r="AP110" s="11">
        <f>G110*(1-0)</f>
        <v>0</v>
      </c>
      <c r="AQ110" s="12" t="s">
        <v>13</v>
      </c>
      <c r="AV110" s="11">
        <f>AW110+AX110</f>
        <v>0</v>
      </c>
      <c r="AW110" s="11">
        <f>F110*AO110</f>
        <v>0</v>
      </c>
      <c r="AX110" s="11">
        <f>F110*AP110</f>
        <v>0</v>
      </c>
      <c r="AY110" s="14" t="s">
        <v>612</v>
      </c>
      <c r="AZ110" s="14" t="s">
        <v>626</v>
      </c>
      <c r="BA110" s="8" t="s">
        <v>629</v>
      </c>
      <c r="BC110" s="11">
        <f>AW110+AX110</f>
        <v>0</v>
      </c>
      <c r="BD110" s="11">
        <f>G110/(100-BE110)*100</f>
        <v>0</v>
      </c>
      <c r="BE110" s="11">
        <v>0</v>
      </c>
      <c r="BF110" s="11">
        <f>L110</f>
        <v>1.3142694199999998</v>
      </c>
      <c r="BH110" s="6">
        <f>F110*AO110</f>
        <v>0</v>
      </c>
      <c r="BI110" s="6">
        <f>F110*AP110</f>
        <v>0</v>
      </c>
      <c r="BJ110" s="6">
        <f>F110*G110</f>
        <v>0</v>
      </c>
      <c r="BK110" s="6" t="s">
        <v>634</v>
      </c>
      <c r="BL110" s="11">
        <v>764</v>
      </c>
    </row>
    <row r="111" spans="1:14" ht="12.75">
      <c r="A111" s="131"/>
      <c r="B111" s="143" t="s">
        <v>137</v>
      </c>
      <c r="C111" s="250" t="s">
        <v>348</v>
      </c>
      <c r="D111" s="251"/>
      <c r="E111" s="251"/>
      <c r="F111" s="251"/>
      <c r="G111" s="251"/>
      <c r="H111" s="251"/>
      <c r="I111" s="251"/>
      <c r="J111" s="251"/>
      <c r="K111" s="251"/>
      <c r="L111" s="251"/>
      <c r="M111" s="252"/>
      <c r="N111" s="1"/>
    </row>
    <row r="112" spans="1:14" ht="12.75">
      <c r="A112" s="131"/>
      <c r="B112" s="132"/>
      <c r="C112" s="133" t="s">
        <v>323</v>
      </c>
      <c r="D112" s="134" t="s">
        <v>546</v>
      </c>
      <c r="E112" s="132"/>
      <c r="F112" s="135">
        <v>149.689</v>
      </c>
      <c r="G112" s="173"/>
      <c r="H112" s="132"/>
      <c r="I112" s="132"/>
      <c r="J112" s="132"/>
      <c r="K112" s="132"/>
      <c r="L112" s="132"/>
      <c r="M112" s="136"/>
      <c r="N112" s="1"/>
    </row>
    <row r="113" spans="1:64" ht="12.75">
      <c r="A113" s="126" t="s">
        <v>46</v>
      </c>
      <c r="B113" s="127" t="s">
        <v>182</v>
      </c>
      <c r="C113" s="242" t="s">
        <v>349</v>
      </c>
      <c r="D113" s="243"/>
      <c r="E113" s="127" t="s">
        <v>567</v>
      </c>
      <c r="F113" s="128">
        <v>187.3</v>
      </c>
      <c r="G113" s="174"/>
      <c r="H113" s="129">
        <f>F113*AO113</f>
        <v>0</v>
      </c>
      <c r="I113" s="129">
        <f>F113*AP113</f>
        <v>0</v>
      </c>
      <c r="J113" s="129">
        <f>F113*G113</f>
        <v>0</v>
      </c>
      <c r="K113" s="129">
        <v>0.0023</v>
      </c>
      <c r="L113" s="129">
        <f>F113*K113</f>
        <v>0.43079</v>
      </c>
      <c r="M113" s="130" t="s">
        <v>593</v>
      </c>
      <c r="N113" s="1"/>
      <c r="Z113" s="11">
        <f>IF(AQ113="5",BJ113,0)</f>
        <v>0</v>
      </c>
      <c r="AB113" s="11">
        <f>IF(AQ113="1",BH113,0)</f>
        <v>0</v>
      </c>
      <c r="AC113" s="11">
        <f>IF(AQ113="1",BI113,0)</f>
        <v>0</v>
      </c>
      <c r="AD113" s="11">
        <f>IF(AQ113="7",BH113,0)</f>
        <v>0</v>
      </c>
      <c r="AE113" s="11">
        <f>IF(AQ113="7",BI113,0)</f>
        <v>0</v>
      </c>
      <c r="AF113" s="11">
        <f>IF(AQ113="2",BH113,0)</f>
        <v>0</v>
      </c>
      <c r="AG113" s="11">
        <f>IF(AQ113="2",BI113,0)</f>
        <v>0</v>
      </c>
      <c r="AH113" s="11">
        <f>IF(AQ113="0",BJ113,0)</f>
        <v>0</v>
      </c>
      <c r="AI113" s="8"/>
      <c r="AJ113" s="6">
        <f>IF(AN113=0,J113,0)</f>
        <v>0</v>
      </c>
      <c r="AK113" s="6">
        <f>IF(AN113=15,J113,0)</f>
        <v>0</v>
      </c>
      <c r="AL113" s="6">
        <f>IF(AN113=21,J113,0)</f>
        <v>0</v>
      </c>
      <c r="AN113" s="11">
        <v>21</v>
      </c>
      <c r="AO113" s="11">
        <f>G113*0</f>
        <v>0</v>
      </c>
      <c r="AP113" s="11">
        <f>G113*(1-0)</f>
        <v>0</v>
      </c>
      <c r="AQ113" s="12" t="s">
        <v>13</v>
      </c>
      <c r="AV113" s="11">
        <f>AW113+AX113</f>
        <v>0</v>
      </c>
      <c r="AW113" s="11">
        <f>F113*AO113</f>
        <v>0</v>
      </c>
      <c r="AX113" s="11">
        <f>F113*AP113</f>
        <v>0</v>
      </c>
      <c r="AY113" s="14" t="s">
        <v>612</v>
      </c>
      <c r="AZ113" s="14" t="s">
        <v>626</v>
      </c>
      <c r="BA113" s="8" t="s">
        <v>629</v>
      </c>
      <c r="BC113" s="11">
        <f>AW113+AX113</f>
        <v>0</v>
      </c>
      <c r="BD113" s="11">
        <f>G113/(100-BE113)*100</f>
        <v>0</v>
      </c>
      <c r="BE113" s="11">
        <v>0</v>
      </c>
      <c r="BF113" s="11">
        <f>L113</f>
        <v>0.43079</v>
      </c>
      <c r="BH113" s="6">
        <f>F113*AO113</f>
        <v>0</v>
      </c>
      <c r="BI113" s="6">
        <f>F113*AP113</f>
        <v>0</v>
      </c>
      <c r="BJ113" s="6">
        <f>F113*G113</f>
        <v>0</v>
      </c>
      <c r="BK113" s="6" t="s">
        <v>634</v>
      </c>
      <c r="BL113" s="11">
        <v>764</v>
      </c>
    </row>
    <row r="114" spans="1:14" ht="12.75">
      <c r="A114" s="131"/>
      <c r="B114" s="143" t="s">
        <v>137</v>
      </c>
      <c r="C114" s="250" t="s">
        <v>350</v>
      </c>
      <c r="D114" s="251"/>
      <c r="E114" s="251"/>
      <c r="F114" s="251"/>
      <c r="G114" s="251"/>
      <c r="H114" s="251"/>
      <c r="I114" s="251"/>
      <c r="J114" s="251"/>
      <c r="K114" s="251"/>
      <c r="L114" s="251"/>
      <c r="M114" s="252"/>
      <c r="N114" s="1"/>
    </row>
    <row r="115" spans="1:14" ht="12.75">
      <c r="A115" s="131"/>
      <c r="B115" s="132"/>
      <c r="C115" s="133" t="s">
        <v>351</v>
      </c>
      <c r="D115" s="134"/>
      <c r="E115" s="132"/>
      <c r="F115" s="135">
        <v>187.3</v>
      </c>
      <c r="G115" s="173"/>
      <c r="H115" s="132"/>
      <c r="I115" s="132"/>
      <c r="J115" s="132"/>
      <c r="K115" s="132"/>
      <c r="L115" s="132"/>
      <c r="M115" s="136"/>
      <c r="N115" s="1"/>
    </row>
    <row r="116" spans="1:64" ht="12.75">
      <c r="A116" s="126" t="s">
        <v>47</v>
      </c>
      <c r="B116" s="127" t="s">
        <v>183</v>
      </c>
      <c r="C116" s="242" t="s">
        <v>352</v>
      </c>
      <c r="D116" s="243"/>
      <c r="E116" s="127" t="s">
        <v>567</v>
      </c>
      <c r="F116" s="128">
        <v>30</v>
      </c>
      <c r="G116" s="174"/>
      <c r="H116" s="129">
        <f>F116*AO116</f>
        <v>0</v>
      </c>
      <c r="I116" s="129">
        <f>F116*AP116</f>
        <v>0</v>
      </c>
      <c r="J116" s="129">
        <f>F116*G116</f>
        <v>0</v>
      </c>
      <c r="K116" s="129">
        <v>0.00181</v>
      </c>
      <c r="L116" s="129">
        <f>F116*K116</f>
        <v>0.0543</v>
      </c>
      <c r="M116" s="130" t="s">
        <v>593</v>
      </c>
      <c r="N116" s="1"/>
      <c r="Z116" s="11">
        <f>IF(AQ116="5",BJ116,0)</f>
        <v>0</v>
      </c>
      <c r="AB116" s="11">
        <f>IF(AQ116="1",BH116,0)</f>
        <v>0</v>
      </c>
      <c r="AC116" s="11">
        <f>IF(AQ116="1",BI116,0)</f>
        <v>0</v>
      </c>
      <c r="AD116" s="11">
        <f>IF(AQ116="7",BH116,0)</f>
        <v>0</v>
      </c>
      <c r="AE116" s="11">
        <f>IF(AQ116="7",BI116,0)</f>
        <v>0</v>
      </c>
      <c r="AF116" s="11">
        <f>IF(AQ116="2",BH116,0)</f>
        <v>0</v>
      </c>
      <c r="AG116" s="11">
        <f>IF(AQ116="2",BI116,0)</f>
        <v>0</v>
      </c>
      <c r="AH116" s="11">
        <f>IF(AQ116="0",BJ116,0)</f>
        <v>0</v>
      </c>
      <c r="AI116" s="8"/>
      <c r="AJ116" s="6">
        <f>IF(AN116=0,J116,0)</f>
        <v>0</v>
      </c>
      <c r="AK116" s="6">
        <f>IF(AN116=15,J116,0)</f>
        <v>0</v>
      </c>
      <c r="AL116" s="6">
        <f>IF(AN116=21,J116,0)</f>
        <v>0</v>
      </c>
      <c r="AN116" s="11">
        <v>21</v>
      </c>
      <c r="AO116" s="11">
        <f>G116*0</f>
        <v>0</v>
      </c>
      <c r="AP116" s="11">
        <f>G116*(1-0)</f>
        <v>0</v>
      </c>
      <c r="AQ116" s="12" t="s">
        <v>13</v>
      </c>
      <c r="AV116" s="11">
        <f>AW116+AX116</f>
        <v>0</v>
      </c>
      <c r="AW116" s="11">
        <f>F116*AO116</f>
        <v>0</v>
      </c>
      <c r="AX116" s="11">
        <f>F116*AP116</f>
        <v>0</v>
      </c>
      <c r="AY116" s="14" t="s">
        <v>612</v>
      </c>
      <c r="AZ116" s="14" t="s">
        <v>626</v>
      </c>
      <c r="BA116" s="8" t="s">
        <v>629</v>
      </c>
      <c r="BC116" s="11">
        <f>AW116+AX116</f>
        <v>0</v>
      </c>
      <c r="BD116" s="11">
        <f>G116/(100-BE116)*100</f>
        <v>0</v>
      </c>
      <c r="BE116" s="11">
        <v>0</v>
      </c>
      <c r="BF116" s="11">
        <f>L116</f>
        <v>0.0543</v>
      </c>
      <c r="BH116" s="6">
        <f>F116*AO116</f>
        <v>0</v>
      </c>
      <c r="BI116" s="6">
        <f>F116*AP116</f>
        <v>0</v>
      </c>
      <c r="BJ116" s="6">
        <f>F116*G116</f>
        <v>0</v>
      </c>
      <c r="BK116" s="6" t="s">
        <v>634</v>
      </c>
      <c r="BL116" s="11">
        <v>764</v>
      </c>
    </row>
    <row r="117" spans="1:14" ht="12.75">
      <c r="A117" s="131"/>
      <c r="B117" s="143" t="s">
        <v>137</v>
      </c>
      <c r="C117" s="250" t="s">
        <v>350</v>
      </c>
      <c r="D117" s="251"/>
      <c r="E117" s="251"/>
      <c r="F117" s="251"/>
      <c r="G117" s="251"/>
      <c r="H117" s="251"/>
      <c r="I117" s="251"/>
      <c r="J117" s="251"/>
      <c r="K117" s="251"/>
      <c r="L117" s="251"/>
      <c r="M117" s="252"/>
      <c r="N117" s="1"/>
    </row>
    <row r="118" spans="1:14" ht="12.75">
      <c r="A118" s="131"/>
      <c r="B118" s="132"/>
      <c r="C118" s="133" t="s">
        <v>353</v>
      </c>
      <c r="D118" s="134"/>
      <c r="E118" s="132"/>
      <c r="F118" s="135">
        <v>30</v>
      </c>
      <c r="G118" s="173"/>
      <c r="H118" s="132"/>
      <c r="I118" s="132"/>
      <c r="J118" s="132"/>
      <c r="K118" s="132"/>
      <c r="L118" s="132"/>
      <c r="M118" s="136"/>
      <c r="N118" s="1"/>
    </row>
    <row r="119" spans="1:64" ht="12.75">
      <c r="A119" s="126" t="s">
        <v>48</v>
      </c>
      <c r="B119" s="127" t="s">
        <v>184</v>
      </c>
      <c r="C119" s="242" t="s">
        <v>354</v>
      </c>
      <c r="D119" s="243"/>
      <c r="E119" s="127" t="s">
        <v>568</v>
      </c>
      <c r="F119" s="128">
        <v>1.799</v>
      </c>
      <c r="G119" s="174"/>
      <c r="H119" s="129">
        <f>F119*AO119</f>
        <v>0</v>
      </c>
      <c r="I119" s="129">
        <f>F119*AP119</f>
        <v>0</v>
      </c>
      <c r="J119" s="129">
        <f>F119*G119</f>
        <v>0</v>
      </c>
      <c r="K119" s="129">
        <v>0</v>
      </c>
      <c r="L119" s="129">
        <f>F119*K119</f>
        <v>0</v>
      </c>
      <c r="M119" s="130" t="s">
        <v>593</v>
      </c>
      <c r="N119" s="1"/>
      <c r="Z119" s="11">
        <f>IF(AQ119="5",BJ119,0)</f>
        <v>0</v>
      </c>
      <c r="AB119" s="11">
        <f>IF(AQ119="1",BH119,0)</f>
        <v>0</v>
      </c>
      <c r="AC119" s="11">
        <f>IF(AQ119="1",BI119,0)</f>
        <v>0</v>
      </c>
      <c r="AD119" s="11">
        <f>IF(AQ119="7",BH119,0)</f>
        <v>0</v>
      </c>
      <c r="AE119" s="11">
        <f>IF(AQ119="7",BI119,0)</f>
        <v>0</v>
      </c>
      <c r="AF119" s="11">
        <f>IF(AQ119="2",BH119,0)</f>
        <v>0</v>
      </c>
      <c r="AG119" s="11">
        <f>IF(AQ119="2",BI119,0)</f>
        <v>0</v>
      </c>
      <c r="AH119" s="11">
        <f>IF(AQ119="0",BJ119,0)</f>
        <v>0</v>
      </c>
      <c r="AI119" s="8"/>
      <c r="AJ119" s="6">
        <f>IF(AN119=0,J119,0)</f>
        <v>0</v>
      </c>
      <c r="AK119" s="6">
        <f>IF(AN119=15,J119,0)</f>
        <v>0</v>
      </c>
      <c r="AL119" s="6">
        <f>IF(AN119=21,J119,0)</f>
        <v>0</v>
      </c>
      <c r="AN119" s="11">
        <v>21</v>
      </c>
      <c r="AO119" s="11">
        <f>G119*0</f>
        <v>0</v>
      </c>
      <c r="AP119" s="11">
        <f>G119*(1-0)</f>
        <v>0</v>
      </c>
      <c r="AQ119" s="12" t="s">
        <v>11</v>
      </c>
      <c r="AV119" s="11">
        <f>AW119+AX119</f>
        <v>0</v>
      </c>
      <c r="AW119" s="11">
        <f>F119*AO119</f>
        <v>0</v>
      </c>
      <c r="AX119" s="11">
        <f>F119*AP119</f>
        <v>0</v>
      </c>
      <c r="AY119" s="14" t="s">
        <v>612</v>
      </c>
      <c r="AZ119" s="14" t="s">
        <v>626</v>
      </c>
      <c r="BA119" s="8" t="s">
        <v>629</v>
      </c>
      <c r="BC119" s="11">
        <f>AW119+AX119</f>
        <v>0</v>
      </c>
      <c r="BD119" s="11">
        <f>G119/(100-BE119)*100</f>
        <v>0</v>
      </c>
      <c r="BE119" s="11">
        <v>0</v>
      </c>
      <c r="BF119" s="11">
        <f>L119</f>
        <v>0</v>
      </c>
      <c r="BH119" s="6">
        <f>F119*AO119</f>
        <v>0</v>
      </c>
      <c r="BI119" s="6">
        <f>F119*AP119</f>
        <v>0</v>
      </c>
      <c r="BJ119" s="6">
        <f>F119*G119</f>
        <v>0</v>
      </c>
      <c r="BK119" s="6" t="s">
        <v>634</v>
      </c>
      <c r="BL119" s="11">
        <v>764</v>
      </c>
    </row>
    <row r="120" spans="1:64" ht="12.75">
      <c r="A120" s="126" t="s">
        <v>49</v>
      </c>
      <c r="B120" s="127" t="s">
        <v>185</v>
      </c>
      <c r="C120" s="242" t="s">
        <v>355</v>
      </c>
      <c r="D120" s="243"/>
      <c r="E120" s="127" t="s">
        <v>568</v>
      </c>
      <c r="F120" s="128">
        <v>1.799</v>
      </c>
      <c r="G120" s="174"/>
      <c r="H120" s="129">
        <f>F120*AO120</f>
        <v>0</v>
      </c>
      <c r="I120" s="129">
        <f>F120*AP120</f>
        <v>0</v>
      </c>
      <c r="J120" s="129">
        <f>F120*G120</f>
        <v>0</v>
      </c>
      <c r="K120" s="129">
        <v>0</v>
      </c>
      <c r="L120" s="129">
        <f>F120*K120</f>
        <v>0</v>
      </c>
      <c r="M120" s="130" t="s">
        <v>593</v>
      </c>
      <c r="N120" s="1"/>
      <c r="Z120" s="11">
        <f>IF(AQ120="5",BJ120,0)</f>
        <v>0</v>
      </c>
      <c r="AB120" s="11">
        <f>IF(AQ120="1",BH120,0)</f>
        <v>0</v>
      </c>
      <c r="AC120" s="11">
        <f>IF(AQ120="1",BI120,0)</f>
        <v>0</v>
      </c>
      <c r="AD120" s="11">
        <f>IF(AQ120="7",BH120,0)</f>
        <v>0</v>
      </c>
      <c r="AE120" s="11">
        <f>IF(AQ120="7",BI120,0)</f>
        <v>0</v>
      </c>
      <c r="AF120" s="11">
        <f>IF(AQ120="2",BH120,0)</f>
        <v>0</v>
      </c>
      <c r="AG120" s="11">
        <f>IF(AQ120="2",BI120,0)</f>
        <v>0</v>
      </c>
      <c r="AH120" s="11">
        <f>IF(AQ120="0",BJ120,0)</f>
        <v>0</v>
      </c>
      <c r="AI120" s="8"/>
      <c r="AJ120" s="6">
        <f>IF(AN120=0,J120,0)</f>
        <v>0</v>
      </c>
      <c r="AK120" s="6">
        <f>IF(AN120=15,J120,0)</f>
        <v>0</v>
      </c>
      <c r="AL120" s="6">
        <f>IF(AN120=21,J120,0)</f>
        <v>0</v>
      </c>
      <c r="AN120" s="11">
        <v>21</v>
      </c>
      <c r="AO120" s="11">
        <f>G120*0</f>
        <v>0</v>
      </c>
      <c r="AP120" s="11">
        <f>G120*(1-0)</f>
        <v>0</v>
      </c>
      <c r="AQ120" s="12" t="s">
        <v>11</v>
      </c>
      <c r="AV120" s="11">
        <f>AW120+AX120</f>
        <v>0</v>
      </c>
      <c r="AW120" s="11">
        <f>F120*AO120</f>
        <v>0</v>
      </c>
      <c r="AX120" s="11">
        <f>F120*AP120</f>
        <v>0</v>
      </c>
      <c r="AY120" s="14" t="s">
        <v>612</v>
      </c>
      <c r="AZ120" s="14" t="s">
        <v>626</v>
      </c>
      <c r="BA120" s="8" t="s">
        <v>629</v>
      </c>
      <c r="BC120" s="11">
        <f>AW120+AX120</f>
        <v>0</v>
      </c>
      <c r="BD120" s="11">
        <f>G120/(100-BE120)*100</f>
        <v>0</v>
      </c>
      <c r="BE120" s="11">
        <v>0</v>
      </c>
      <c r="BF120" s="11">
        <f>L120</f>
        <v>0</v>
      </c>
      <c r="BH120" s="6">
        <f>F120*AO120</f>
        <v>0</v>
      </c>
      <c r="BI120" s="6">
        <f>F120*AP120</f>
        <v>0</v>
      </c>
      <c r="BJ120" s="6">
        <f>F120*G120</f>
        <v>0</v>
      </c>
      <c r="BK120" s="6" t="s">
        <v>634</v>
      </c>
      <c r="BL120" s="11">
        <v>764</v>
      </c>
    </row>
    <row r="121" spans="1:64" ht="12.75">
      <c r="A121" s="126" t="s">
        <v>50</v>
      </c>
      <c r="B121" s="127" t="s">
        <v>186</v>
      </c>
      <c r="C121" s="242" t="s">
        <v>356</v>
      </c>
      <c r="D121" s="243"/>
      <c r="E121" s="127" t="s">
        <v>565</v>
      </c>
      <c r="F121" s="128">
        <v>149.689</v>
      </c>
      <c r="G121" s="174"/>
      <c r="H121" s="129">
        <f>F121*AO121</f>
        <v>0</v>
      </c>
      <c r="I121" s="129">
        <f>F121*AP121</f>
        <v>0</v>
      </c>
      <c r="J121" s="129">
        <f>F121*G121</f>
        <v>0</v>
      </c>
      <c r="K121" s="129">
        <v>0.0198</v>
      </c>
      <c r="L121" s="129">
        <f>F121*K121</f>
        <v>2.9638422</v>
      </c>
      <c r="M121" s="130" t="s">
        <v>593</v>
      </c>
      <c r="N121" s="1"/>
      <c r="Z121" s="11">
        <f>IF(AQ121="5",BJ121,0)</f>
        <v>0</v>
      </c>
      <c r="AB121" s="11">
        <f>IF(AQ121="1",BH121,0)</f>
        <v>0</v>
      </c>
      <c r="AC121" s="11">
        <f>IF(AQ121="1",BI121,0)</f>
        <v>0</v>
      </c>
      <c r="AD121" s="11">
        <f>IF(AQ121="7",BH121,0)</f>
        <v>0</v>
      </c>
      <c r="AE121" s="11">
        <f>IF(AQ121="7",BI121,0)</f>
        <v>0</v>
      </c>
      <c r="AF121" s="11">
        <f>IF(AQ121="2",BH121,0)</f>
        <v>0</v>
      </c>
      <c r="AG121" s="11">
        <f>IF(AQ121="2",BI121,0)</f>
        <v>0</v>
      </c>
      <c r="AH121" s="11">
        <f>IF(AQ121="0",BJ121,0)</f>
        <v>0</v>
      </c>
      <c r="AI121" s="8"/>
      <c r="AJ121" s="6">
        <f>IF(AN121=0,J121,0)</f>
        <v>0</v>
      </c>
      <c r="AK121" s="6">
        <f>IF(AN121=15,J121,0)</f>
        <v>0</v>
      </c>
      <c r="AL121" s="6">
        <f>IF(AN121=21,J121,0)</f>
        <v>0</v>
      </c>
      <c r="AN121" s="11">
        <v>21</v>
      </c>
      <c r="AO121" s="11">
        <f>G121*0.656408783783784</f>
        <v>0</v>
      </c>
      <c r="AP121" s="11">
        <f>G121*(1-0.656408783783784)</f>
        <v>0</v>
      </c>
      <c r="AQ121" s="12" t="s">
        <v>13</v>
      </c>
      <c r="AV121" s="11">
        <f>AW121+AX121</f>
        <v>0</v>
      </c>
      <c r="AW121" s="11">
        <f>F121*AO121</f>
        <v>0</v>
      </c>
      <c r="AX121" s="11">
        <f>F121*AP121</f>
        <v>0</v>
      </c>
      <c r="AY121" s="14" t="s">
        <v>612</v>
      </c>
      <c r="AZ121" s="14" t="s">
        <v>626</v>
      </c>
      <c r="BA121" s="8" t="s">
        <v>629</v>
      </c>
      <c r="BC121" s="11">
        <f>AW121+AX121</f>
        <v>0</v>
      </c>
      <c r="BD121" s="11">
        <f>G121/(100-BE121)*100</f>
        <v>0</v>
      </c>
      <c r="BE121" s="11">
        <v>0</v>
      </c>
      <c r="BF121" s="11">
        <f>L121</f>
        <v>2.9638422</v>
      </c>
      <c r="BH121" s="6">
        <f>F121*AO121</f>
        <v>0</v>
      </c>
      <c r="BI121" s="6">
        <f>F121*AP121</f>
        <v>0</v>
      </c>
      <c r="BJ121" s="6">
        <f>F121*G121</f>
        <v>0</v>
      </c>
      <c r="BK121" s="6" t="s">
        <v>634</v>
      </c>
      <c r="BL121" s="11">
        <v>764</v>
      </c>
    </row>
    <row r="122" spans="1:14" ht="12.75">
      <c r="A122" s="131"/>
      <c r="B122" s="143" t="s">
        <v>137</v>
      </c>
      <c r="C122" s="250" t="s">
        <v>357</v>
      </c>
      <c r="D122" s="251"/>
      <c r="E122" s="251"/>
      <c r="F122" s="251"/>
      <c r="G122" s="251"/>
      <c r="H122" s="251"/>
      <c r="I122" s="251"/>
      <c r="J122" s="251"/>
      <c r="K122" s="251"/>
      <c r="L122" s="251"/>
      <c r="M122" s="252"/>
      <c r="N122" s="1"/>
    </row>
    <row r="123" spans="1:14" ht="12.75">
      <c r="A123" s="131"/>
      <c r="B123" s="132"/>
      <c r="C123" s="133" t="s">
        <v>323</v>
      </c>
      <c r="D123" s="134" t="s">
        <v>546</v>
      </c>
      <c r="E123" s="132"/>
      <c r="F123" s="135">
        <v>149.689</v>
      </c>
      <c r="G123" s="173"/>
      <c r="H123" s="132"/>
      <c r="I123" s="132"/>
      <c r="J123" s="132"/>
      <c r="K123" s="132"/>
      <c r="L123" s="132"/>
      <c r="M123" s="136"/>
      <c r="N123" s="1"/>
    </row>
    <row r="124" spans="1:64" ht="12.75">
      <c r="A124" s="126" t="s">
        <v>51</v>
      </c>
      <c r="B124" s="127" t="s">
        <v>187</v>
      </c>
      <c r="C124" s="242" t="s">
        <v>358</v>
      </c>
      <c r="D124" s="243"/>
      <c r="E124" s="127" t="s">
        <v>567</v>
      </c>
      <c r="F124" s="128">
        <v>93.5</v>
      </c>
      <c r="G124" s="174"/>
      <c r="H124" s="129">
        <f>F124*AO124</f>
        <v>0</v>
      </c>
      <c r="I124" s="129">
        <f>F124*AP124</f>
        <v>0</v>
      </c>
      <c r="J124" s="129">
        <f>F124*G124</f>
        <v>0</v>
      </c>
      <c r="K124" s="129">
        <v>0.00412</v>
      </c>
      <c r="L124" s="129">
        <f>F124*K124</f>
        <v>0.38522000000000006</v>
      </c>
      <c r="M124" s="130" t="s">
        <v>593</v>
      </c>
      <c r="N124" s="1"/>
      <c r="Z124" s="11">
        <f>IF(AQ124="5",BJ124,0)</f>
        <v>0</v>
      </c>
      <c r="AB124" s="11">
        <f>IF(AQ124="1",BH124,0)</f>
        <v>0</v>
      </c>
      <c r="AC124" s="11">
        <f>IF(AQ124="1",BI124,0)</f>
        <v>0</v>
      </c>
      <c r="AD124" s="11">
        <f>IF(AQ124="7",BH124,0)</f>
        <v>0</v>
      </c>
      <c r="AE124" s="11">
        <f>IF(AQ124="7",BI124,0)</f>
        <v>0</v>
      </c>
      <c r="AF124" s="11">
        <f>IF(AQ124="2",BH124,0)</f>
        <v>0</v>
      </c>
      <c r="AG124" s="11">
        <f>IF(AQ124="2",BI124,0)</f>
        <v>0</v>
      </c>
      <c r="AH124" s="11">
        <f>IF(AQ124="0",BJ124,0)</f>
        <v>0</v>
      </c>
      <c r="AI124" s="8"/>
      <c r="AJ124" s="6">
        <f>IF(AN124=0,J124,0)</f>
        <v>0</v>
      </c>
      <c r="AK124" s="6">
        <f>IF(AN124=15,J124,0)</f>
        <v>0</v>
      </c>
      <c r="AL124" s="6">
        <f>IF(AN124=21,J124,0)</f>
        <v>0</v>
      </c>
      <c r="AN124" s="11">
        <v>21</v>
      </c>
      <c r="AO124" s="11">
        <f>G124*0.588606811145511</f>
        <v>0</v>
      </c>
      <c r="AP124" s="11">
        <f>G124*(1-0.588606811145511)</f>
        <v>0</v>
      </c>
      <c r="AQ124" s="12" t="s">
        <v>13</v>
      </c>
      <c r="AV124" s="11">
        <f>AW124+AX124</f>
        <v>0</v>
      </c>
      <c r="AW124" s="11">
        <f>F124*AO124</f>
        <v>0</v>
      </c>
      <c r="AX124" s="11">
        <f>F124*AP124</f>
        <v>0</v>
      </c>
      <c r="AY124" s="14" t="s">
        <v>612</v>
      </c>
      <c r="AZ124" s="14" t="s">
        <v>626</v>
      </c>
      <c r="BA124" s="8" t="s">
        <v>629</v>
      </c>
      <c r="BC124" s="11">
        <f>AW124+AX124</f>
        <v>0</v>
      </c>
      <c r="BD124" s="11">
        <f>G124/(100-BE124)*100</f>
        <v>0</v>
      </c>
      <c r="BE124" s="11">
        <v>0</v>
      </c>
      <c r="BF124" s="11">
        <f>L124</f>
        <v>0.38522000000000006</v>
      </c>
      <c r="BH124" s="6">
        <f>F124*AO124</f>
        <v>0</v>
      </c>
      <c r="BI124" s="6">
        <f>F124*AP124</f>
        <v>0</v>
      </c>
      <c r="BJ124" s="6">
        <f>F124*G124</f>
        <v>0</v>
      </c>
      <c r="BK124" s="6" t="s">
        <v>634</v>
      </c>
      <c r="BL124" s="11">
        <v>764</v>
      </c>
    </row>
    <row r="125" spans="1:14" ht="12.75">
      <c r="A125" s="131"/>
      <c r="B125" s="132"/>
      <c r="C125" s="133" t="s">
        <v>359</v>
      </c>
      <c r="D125" s="134"/>
      <c r="E125" s="132"/>
      <c r="F125" s="135">
        <v>93.5</v>
      </c>
      <c r="G125" s="173"/>
      <c r="H125" s="132"/>
      <c r="I125" s="132"/>
      <c r="J125" s="132"/>
      <c r="K125" s="132"/>
      <c r="L125" s="132"/>
      <c r="M125" s="136"/>
      <c r="N125" s="1"/>
    </row>
    <row r="126" spans="1:14" ht="12.75">
      <c r="A126" s="131"/>
      <c r="B126" s="150" t="s">
        <v>154</v>
      </c>
      <c r="C126" s="255" t="s">
        <v>360</v>
      </c>
      <c r="D126" s="256"/>
      <c r="E126" s="256"/>
      <c r="F126" s="256"/>
      <c r="G126" s="256"/>
      <c r="H126" s="256"/>
      <c r="I126" s="256"/>
      <c r="J126" s="256"/>
      <c r="K126" s="256"/>
      <c r="L126" s="256"/>
      <c r="M126" s="257"/>
      <c r="N126" s="1"/>
    </row>
    <row r="127" spans="1:64" ht="12.75">
      <c r="A127" s="126" t="s">
        <v>52</v>
      </c>
      <c r="B127" s="127" t="s">
        <v>188</v>
      </c>
      <c r="C127" s="242" t="s">
        <v>361</v>
      </c>
      <c r="D127" s="243"/>
      <c r="E127" s="127" t="s">
        <v>567</v>
      </c>
      <c r="F127" s="128">
        <v>8</v>
      </c>
      <c r="G127" s="174"/>
      <c r="H127" s="129">
        <f>F127*AO127</f>
        <v>0</v>
      </c>
      <c r="I127" s="129">
        <f>F127*AP127</f>
        <v>0</v>
      </c>
      <c r="J127" s="129">
        <f>F127*G127</f>
        <v>0</v>
      </c>
      <c r="K127" s="129">
        <v>0.00365</v>
      </c>
      <c r="L127" s="129">
        <f>F127*K127</f>
        <v>0.0292</v>
      </c>
      <c r="M127" s="130" t="s">
        <v>593</v>
      </c>
      <c r="N127" s="1"/>
      <c r="Z127" s="11">
        <f>IF(AQ127="5",BJ127,0)</f>
        <v>0</v>
      </c>
      <c r="AB127" s="11">
        <f>IF(AQ127="1",BH127,0)</f>
        <v>0</v>
      </c>
      <c r="AC127" s="11">
        <f>IF(AQ127="1",BI127,0)</f>
        <v>0</v>
      </c>
      <c r="AD127" s="11">
        <f>IF(AQ127="7",BH127,0)</f>
        <v>0</v>
      </c>
      <c r="AE127" s="11">
        <f>IF(AQ127="7",BI127,0)</f>
        <v>0</v>
      </c>
      <c r="AF127" s="11">
        <f>IF(AQ127="2",BH127,0)</f>
        <v>0</v>
      </c>
      <c r="AG127" s="11">
        <f>IF(AQ127="2",BI127,0)</f>
        <v>0</v>
      </c>
      <c r="AH127" s="11">
        <f>IF(AQ127="0",BJ127,0)</f>
        <v>0</v>
      </c>
      <c r="AI127" s="8"/>
      <c r="AJ127" s="6">
        <f>IF(AN127=0,J127,0)</f>
        <v>0</v>
      </c>
      <c r="AK127" s="6">
        <f>IF(AN127=15,J127,0)</f>
        <v>0</v>
      </c>
      <c r="AL127" s="6">
        <f>IF(AN127=21,J127,0)</f>
        <v>0</v>
      </c>
      <c r="AN127" s="11">
        <v>21</v>
      </c>
      <c r="AO127" s="11">
        <f>G127*0.542374541003672</f>
        <v>0</v>
      </c>
      <c r="AP127" s="11">
        <f>G127*(1-0.542374541003672)</f>
        <v>0</v>
      </c>
      <c r="AQ127" s="12" t="s">
        <v>13</v>
      </c>
      <c r="AV127" s="11">
        <f>AW127+AX127</f>
        <v>0</v>
      </c>
      <c r="AW127" s="11">
        <f>F127*AO127</f>
        <v>0</v>
      </c>
      <c r="AX127" s="11">
        <f>F127*AP127</f>
        <v>0</v>
      </c>
      <c r="AY127" s="14" t="s">
        <v>612</v>
      </c>
      <c r="AZ127" s="14" t="s">
        <v>626</v>
      </c>
      <c r="BA127" s="8" t="s">
        <v>629</v>
      </c>
      <c r="BC127" s="11">
        <f>AW127+AX127</f>
        <v>0</v>
      </c>
      <c r="BD127" s="11">
        <f>G127/(100-BE127)*100</f>
        <v>0</v>
      </c>
      <c r="BE127" s="11">
        <v>0</v>
      </c>
      <c r="BF127" s="11">
        <f>L127</f>
        <v>0.0292</v>
      </c>
      <c r="BH127" s="6">
        <f>F127*AO127</f>
        <v>0</v>
      </c>
      <c r="BI127" s="6">
        <f>F127*AP127</f>
        <v>0</v>
      </c>
      <c r="BJ127" s="6">
        <f>F127*G127</f>
        <v>0</v>
      </c>
      <c r="BK127" s="6" t="s">
        <v>634</v>
      </c>
      <c r="BL127" s="11">
        <v>764</v>
      </c>
    </row>
    <row r="128" spans="1:14" ht="12.75">
      <c r="A128" s="131"/>
      <c r="B128" s="132"/>
      <c r="C128" s="133" t="s">
        <v>14</v>
      </c>
      <c r="D128" s="134"/>
      <c r="E128" s="132"/>
      <c r="F128" s="135">
        <v>8</v>
      </c>
      <c r="G128" s="173"/>
      <c r="H128" s="132"/>
      <c r="I128" s="132"/>
      <c r="J128" s="132"/>
      <c r="K128" s="132"/>
      <c r="L128" s="132"/>
      <c r="M128" s="136"/>
      <c r="N128" s="1"/>
    </row>
    <row r="129" spans="1:14" ht="12.75">
      <c r="A129" s="131"/>
      <c r="B129" s="150" t="s">
        <v>154</v>
      </c>
      <c r="C129" s="255" t="s">
        <v>362</v>
      </c>
      <c r="D129" s="256"/>
      <c r="E129" s="256"/>
      <c r="F129" s="256"/>
      <c r="G129" s="256"/>
      <c r="H129" s="256"/>
      <c r="I129" s="256"/>
      <c r="J129" s="256"/>
      <c r="K129" s="256"/>
      <c r="L129" s="256"/>
      <c r="M129" s="257"/>
      <c r="N129" s="1"/>
    </row>
    <row r="130" spans="1:64" ht="12.75">
      <c r="A130" s="126" t="s">
        <v>53</v>
      </c>
      <c r="B130" s="127" t="s">
        <v>189</v>
      </c>
      <c r="C130" s="242" t="s">
        <v>363</v>
      </c>
      <c r="D130" s="243"/>
      <c r="E130" s="127" t="s">
        <v>567</v>
      </c>
      <c r="F130" s="128">
        <v>20</v>
      </c>
      <c r="G130" s="174"/>
      <c r="H130" s="129">
        <f>F130*AO130</f>
        <v>0</v>
      </c>
      <c r="I130" s="129">
        <f>F130*AP130</f>
        <v>0</v>
      </c>
      <c r="J130" s="129">
        <f>F130*G130</f>
        <v>0</v>
      </c>
      <c r="K130" s="129">
        <v>0.00706</v>
      </c>
      <c r="L130" s="129">
        <f>F130*K130</f>
        <v>0.1412</v>
      </c>
      <c r="M130" s="130" t="s">
        <v>593</v>
      </c>
      <c r="N130" s="1"/>
      <c r="Z130" s="11">
        <f>IF(AQ130="5",BJ130,0)</f>
        <v>0</v>
      </c>
      <c r="AB130" s="11">
        <f>IF(AQ130="1",BH130,0)</f>
        <v>0</v>
      </c>
      <c r="AC130" s="11">
        <f>IF(AQ130="1",BI130,0)</f>
        <v>0</v>
      </c>
      <c r="AD130" s="11">
        <f>IF(AQ130="7",BH130,0)</f>
        <v>0</v>
      </c>
      <c r="AE130" s="11">
        <f>IF(AQ130="7",BI130,0)</f>
        <v>0</v>
      </c>
      <c r="AF130" s="11">
        <f>IF(AQ130="2",BH130,0)</f>
        <v>0</v>
      </c>
      <c r="AG130" s="11">
        <f>IF(AQ130="2",BI130,0)</f>
        <v>0</v>
      </c>
      <c r="AH130" s="11">
        <f>IF(AQ130="0",BJ130,0)</f>
        <v>0</v>
      </c>
      <c r="AI130" s="8"/>
      <c r="AJ130" s="6">
        <f>IF(AN130=0,J130,0)</f>
        <v>0</v>
      </c>
      <c r="AK130" s="6">
        <f>IF(AN130=15,J130,0)</f>
        <v>0</v>
      </c>
      <c r="AL130" s="6">
        <f>IF(AN130=21,J130,0)</f>
        <v>0</v>
      </c>
      <c r="AN130" s="11">
        <v>21</v>
      </c>
      <c r="AO130" s="11">
        <f>G130*0.736109307359307</f>
        <v>0</v>
      </c>
      <c r="AP130" s="11">
        <f>G130*(1-0.736109307359307)</f>
        <v>0</v>
      </c>
      <c r="AQ130" s="12" t="s">
        <v>13</v>
      </c>
      <c r="AV130" s="11">
        <f>AW130+AX130</f>
        <v>0</v>
      </c>
      <c r="AW130" s="11">
        <f>F130*AO130</f>
        <v>0</v>
      </c>
      <c r="AX130" s="11">
        <f>F130*AP130</f>
        <v>0</v>
      </c>
      <c r="AY130" s="14" t="s">
        <v>612</v>
      </c>
      <c r="AZ130" s="14" t="s">
        <v>626</v>
      </c>
      <c r="BA130" s="8" t="s">
        <v>629</v>
      </c>
      <c r="BC130" s="11">
        <f>AW130+AX130</f>
        <v>0</v>
      </c>
      <c r="BD130" s="11">
        <f>G130/(100-BE130)*100</f>
        <v>0</v>
      </c>
      <c r="BE130" s="11">
        <v>0</v>
      </c>
      <c r="BF130" s="11">
        <f>L130</f>
        <v>0.1412</v>
      </c>
      <c r="BH130" s="6">
        <f>F130*AO130</f>
        <v>0</v>
      </c>
      <c r="BI130" s="6">
        <f>F130*AP130</f>
        <v>0</v>
      </c>
      <c r="BJ130" s="6">
        <f>F130*G130</f>
        <v>0</v>
      </c>
      <c r="BK130" s="6" t="s">
        <v>634</v>
      </c>
      <c r="BL130" s="11">
        <v>764</v>
      </c>
    </row>
    <row r="131" spans="1:14" ht="12.75">
      <c r="A131" s="131"/>
      <c r="B131" s="132"/>
      <c r="C131" s="133" t="s">
        <v>364</v>
      </c>
      <c r="D131" s="134"/>
      <c r="E131" s="132"/>
      <c r="F131" s="135">
        <v>20</v>
      </c>
      <c r="G131" s="173"/>
      <c r="H131" s="132"/>
      <c r="I131" s="132"/>
      <c r="J131" s="132"/>
      <c r="K131" s="132"/>
      <c r="L131" s="132"/>
      <c r="M131" s="136"/>
      <c r="N131" s="1"/>
    </row>
    <row r="132" spans="1:14" ht="12.75">
      <c r="A132" s="131"/>
      <c r="B132" s="150" t="s">
        <v>154</v>
      </c>
      <c r="C132" s="255" t="s">
        <v>365</v>
      </c>
      <c r="D132" s="256"/>
      <c r="E132" s="256"/>
      <c r="F132" s="256"/>
      <c r="G132" s="256"/>
      <c r="H132" s="256"/>
      <c r="I132" s="256"/>
      <c r="J132" s="256"/>
      <c r="K132" s="256"/>
      <c r="L132" s="256"/>
      <c r="M132" s="257"/>
      <c r="N132" s="1"/>
    </row>
    <row r="133" spans="1:64" ht="12.75">
      <c r="A133" s="126" t="s">
        <v>54</v>
      </c>
      <c r="B133" s="127" t="s">
        <v>190</v>
      </c>
      <c r="C133" s="242" t="s">
        <v>366</v>
      </c>
      <c r="D133" s="243"/>
      <c r="E133" s="127" t="s">
        <v>567</v>
      </c>
      <c r="F133" s="128">
        <v>0.5</v>
      </c>
      <c r="G133" s="174"/>
      <c r="H133" s="129">
        <f>F133*AO133</f>
        <v>0</v>
      </c>
      <c r="I133" s="129">
        <f>F133*AP133</f>
        <v>0</v>
      </c>
      <c r="J133" s="129">
        <f>F133*G133</f>
        <v>0</v>
      </c>
      <c r="K133" s="129">
        <v>0.0045</v>
      </c>
      <c r="L133" s="129">
        <f>F133*K133</f>
        <v>0.00225</v>
      </c>
      <c r="M133" s="130" t="s">
        <v>593</v>
      </c>
      <c r="N133" s="1"/>
      <c r="Z133" s="11">
        <f>IF(AQ133="5",BJ133,0)</f>
        <v>0</v>
      </c>
      <c r="AB133" s="11">
        <f>IF(AQ133="1",BH133,0)</f>
        <v>0</v>
      </c>
      <c r="AC133" s="11">
        <f>IF(AQ133="1",BI133,0)</f>
        <v>0</v>
      </c>
      <c r="AD133" s="11">
        <f>IF(AQ133="7",BH133,0)</f>
        <v>0</v>
      </c>
      <c r="AE133" s="11">
        <f>IF(AQ133="7",BI133,0)</f>
        <v>0</v>
      </c>
      <c r="AF133" s="11">
        <f>IF(AQ133="2",BH133,0)</f>
        <v>0</v>
      </c>
      <c r="AG133" s="11">
        <f>IF(AQ133="2",BI133,0)</f>
        <v>0</v>
      </c>
      <c r="AH133" s="11">
        <f>IF(AQ133="0",BJ133,0)</f>
        <v>0</v>
      </c>
      <c r="AI133" s="8"/>
      <c r="AJ133" s="6">
        <f>IF(AN133=0,J133,0)</f>
        <v>0</v>
      </c>
      <c r="AK133" s="6">
        <f>IF(AN133=15,J133,0)</f>
        <v>0</v>
      </c>
      <c r="AL133" s="6">
        <f>IF(AN133=21,J133,0)</f>
        <v>0</v>
      </c>
      <c r="AN133" s="11">
        <v>21</v>
      </c>
      <c r="AO133" s="11">
        <f>G133*0.606582278481013</f>
        <v>0</v>
      </c>
      <c r="AP133" s="11">
        <f>G133*(1-0.606582278481013)</f>
        <v>0</v>
      </c>
      <c r="AQ133" s="12" t="s">
        <v>13</v>
      </c>
      <c r="AV133" s="11">
        <f>AW133+AX133</f>
        <v>0</v>
      </c>
      <c r="AW133" s="11">
        <f>F133*AO133</f>
        <v>0</v>
      </c>
      <c r="AX133" s="11">
        <f>F133*AP133</f>
        <v>0</v>
      </c>
      <c r="AY133" s="14" t="s">
        <v>612</v>
      </c>
      <c r="AZ133" s="14" t="s">
        <v>626</v>
      </c>
      <c r="BA133" s="8" t="s">
        <v>629</v>
      </c>
      <c r="BC133" s="11">
        <f>AW133+AX133</f>
        <v>0</v>
      </c>
      <c r="BD133" s="11">
        <f>G133/(100-BE133)*100</f>
        <v>0</v>
      </c>
      <c r="BE133" s="11">
        <v>0</v>
      </c>
      <c r="BF133" s="11">
        <f>L133</f>
        <v>0.00225</v>
      </c>
      <c r="BH133" s="6">
        <f>F133*AO133</f>
        <v>0</v>
      </c>
      <c r="BI133" s="6">
        <f>F133*AP133</f>
        <v>0</v>
      </c>
      <c r="BJ133" s="6">
        <f>F133*G133</f>
        <v>0</v>
      </c>
      <c r="BK133" s="6" t="s">
        <v>634</v>
      </c>
      <c r="BL133" s="11">
        <v>764</v>
      </c>
    </row>
    <row r="134" spans="1:14" ht="12.75">
      <c r="A134" s="131"/>
      <c r="B134" s="132"/>
      <c r="C134" s="133" t="s">
        <v>367</v>
      </c>
      <c r="D134" s="134"/>
      <c r="E134" s="132"/>
      <c r="F134" s="135">
        <v>0.5</v>
      </c>
      <c r="G134" s="173"/>
      <c r="H134" s="132"/>
      <c r="I134" s="132"/>
      <c r="J134" s="132"/>
      <c r="K134" s="132"/>
      <c r="L134" s="132"/>
      <c r="M134" s="136"/>
      <c r="N134" s="1"/>
    </row>
    <row r="135" spans="1:14" ht="12.75">
      <c r="A135" s="131"/>
      <c r="B135" s="150" t="s">
        <v>154</v>
      </c>
      <c r="C135" s="255" t="s">
        <v>368</v>
      </c>
      <c r="D135" s="256"/>
      <c r="E135" s="256"/>
      <c r="F135" s="256"/>
      <c r="G135" s="256"/>
      <c r="H135" s="256"/>
      <c r="I135" s="256"/>
      <c r="J135" s="256"/>
      <c r="K135" s="256"/>
      <c r="L135" s="256"/>
      <c r="M135" s="257"/>
      <c r="N135" s="1"/>
    </row>
    <row r="136" spans="1:64" ht="12.75">
      <c r="A136" s="126" t="s">
        <v>55</v>
      </c>
      <c r="B136" s="127" t="s">
        <v>191</v>
      </c>
      <c r="C136" s="242" t="s">
        <v>369</v>
      </c>
      <c r="D136" s="243"/>
      <c r="E136" s="127" t="s">
        <v>567</v>
      </c>
      <c r="F136" s="128">
        <v>8.5</v>
      </c>
      <c r="G136" s="174"/>
      <c r="H136" s="129">
        <f>F136*AO136</f>
        <v>0</v>
      </c>
      <c r="I136" s="129">
        <f>F136*AP136</f>
        <v>0</v>
      </c>
      <c r="J136" s="129">
        <f>F136*G136</f>
        <v>0</v>
      </c>
      <c r="K136" s="129">
        <v>0.00293</v>
      </c>
      <c r="L136" s="129">
        <f>F136*K136</f>
        <v>0.024905</v>
      </c>
      <c r="M136" s="130" t="s">
        <v>593</v>
      </c>
      <c r="N136" s="1"/>
      <c r="Z136" s="11">
        <f>IF(AQ136="5",BJ136,0)</f>
        <v>0</v>
      </c>
      <c r="AB136" s="11">
        <f>IF(AQ136="1",BH136,0)</f>
        <v>0</v>
      </c>
      <c r="AC136" s="11">
        <f>IF(AQ136="1",BI136,0)</f>
        <v>0</v>
      </c>
      <c r="AD136" s="11">
        <f>IF(AQ136="7",BH136,0)</f>
        <v>0</v>
      </c>
      <c r="AE136" s="11">
        <f>IF(AQ136="7",BI136,0)</f>
        <v>0</v>
      </c>
      <c r="AF136" s="11">
        <f>IF(AQ136="2",BH136,0)</f>
        <v>0</v>
      </c>
      <c r="AG136" s="11">
        <f>IF(AQ136="2",BI136,0)</f>
        <v>0</v>
      </c>
      <c r="AH136" s="11">
        <f>IF(AQ136="0",BJ136,0)</f>
        <v>0</v>
      </c>
      <c r="AI136" s="8"/>
      <c r="AJ136" s="6">
        <f>IF(AN136=0,J136,0)</f>
        <v>0</v>
      </c>
      <c r="AK136" s="6">
        <f>IF(AN136=15,J136,0)</f>
        <v>0</v>
      </c>
      <c r="AL136" s="6">
        <f>IF(AN136=21,J136,0)</f>
        <v>0</v>
      </c>
      <c r="AN136" s="11">
        <v>21</v>
      </c>
      <c r="AO136" s="11">
        <f>G136*0.694277447106432</f>
        <v>0</v>
      </c>
      <c r="AP136" s="11">
        <f>G136*(1-0.694277447106432)</f>
        <v>0</v>
      </c>
      <c r="AQ136" s="12" t="s">
        <v>13</v>
      </c>
      <c r="AV136" s="11">
        <f>AW136+AX136</f>
        <v>0</v>
      </c>
      <c r="AW136" s="11">
        <f>F136*AO136</f>
        <v>0</v>
      </c>
      <c r="AX136" s="11">
        <f>F136*AP136</f>
        <v>0</v>
      </c>
      <c r="AY136" s="14" t="s">
        <v>612</v>
      </c>
      <c r="AZ136" s="14" t="s">
        <v>626</v>
      </c>
      <c r="BA136" s="8" t="s">
        <v>629</v>
      </c>
      <c r="BC136" s="11">
        <f>AW136+AX136</f>
        <v>0</v>
      </c>
      <c r="BD136" s="11">
        <f>G136/(100-BE136)*100</f>
        <v>0</v>
      </c>
      <c r="BE136" s="11">
        <v>0</v>
      </c>
      <c r="BF136" s="11">
        <f>L136</f>
        <v>0.024905</v>
      </c>
      <c r="BH136" s="6">
        <f>F136*AO136</f>
        <v>0</v>
      </c>
      <c r="BI136" s="6">
        <f>F136*AP136</f>
        <v>0</v>
      </c>
      <c r="BJ136" s="6">
        <f>F136*G136</f>
        <v>0</v>
      </c>
      <c r="BK136" s="6" t="s">
        <v>634</v>
      </c>
      <c r="BL136" s="11">
        <v>764</v>
      </c>
    </row>
    <row r="137" spans="1:14" ht="12.75">
      <c r="A137" s="131"/>
      <c r="B137" s="132"/>
      <c r="C137" s="133" t="s">
        <v>370</v>
      </c>
      <c r="D137" s="134"/>
      <c r="E137" s="132"/>
      <c r="F137" s="135">
        <v>8.5</v>
      </c>
      <c r="G137" s="173"/>
      <c r="H137" s="132"/>
      <c r="I137" s="132"/>
      <c r="J137" s="132"/>
      <c r="K137" s="132"/>
      <c r="L137" s="132"/>
      <c r="M137" s="136"/>
      <c r="N137" s="1"/>
    </row>
    <row r="138" spans="1:14" ht="12.75">
      <c r="A138" s="131"/>
      <c r="B138" s="150" t="s">
        <v>154</v>
      </c>
      <c r="C138" s="255" t="s">
        <v>371</v>
      </c>
      <c r="D138" s="256"/>
      <c r="E138" s="256"/>
      <c r="F138" s="256"/>
      <c r="G138" s="256"/>
      <c r="H138" s="256"/>
      <c r="I138" s="256"/>
      <c r="J138" s="256"/>
      <c r="K138" s="256"/>
      <c r="L138" s="256"/>
      <c r="M138" s="257"/>
      <c r="N138" s="1"/>
    </row>
    <row r="139" spans="1:64" ht="12.75">
      <c r="A139" s="126" t="s">
        <v>56</v>
      </c>
      <c r="B139" s="127" t="s">
        <v>192</v>
      </c>
      <c r="C139" s="242" t="s">
        <v>372</v>
      </c>
      <c r="D139" s="243"/>
      <c r="E139" s="127" t="s">
        <v>567</v>
      </c>
      <c r="F139" s="128">
        <v>36</v>
      </c>
      <c r="G139" s="174"/>
      <c r="H139" s="129">
        <f>F139*AO139</f>
        <v>0</v>
      </c>
      <c r="I139" s="129">
        <f>F139*AP139</f>
        <v>0</v>
      </c>
      <c r="J139" s="129">
        <f>F139*G139</f>
        <v>0</v>
      </c>
      <c r="K139" s="129">
        <v>0.00268</v>
      </c>
      <c r="L139" s="129">
        <f>F139*K139</f>
        <v>0.09648000000000001</v>
      </c>
      <c r="M139" s="130" t="s">
        <v>593</v>
      </c>
      <c r="N139" s="1"/>
      <c r="Z139" s="11">
        <f>IF(AQ139="5",BJ139,0)</f>
        <v>0</v>
      </c>
      <c r="AB139" s="11">
        <f>IF(AQ139="1",BH139,0)</f>
        <v>0</v>
      </c>
      <c r="AC139" s="11">
        <f>IF(AQ139="1",BI139,0)</f>
        <v>0</v>
      </c>
      <c r="AD139" s="11">
        <f>IF(AQ139="7",BH139,0)</f>
        <v>0</v>
      </c>
      <c r="AE139" s="11">
        <f>IF(AQ139="7",BI139,0)</f>
        <v>0</v>
      </c>
      <c r="AF139" s="11">
        <f>IF(AQ139="2",BH139,0)</f>
        <v>0</v>
      </c>
      <c r="AG139" s="11">
        <f>IF(AQ139="2",BI139,0)</f>
        <v>0</v>
      </c>
      <c r="AH139" s="11">
        <f>IF(AQ139="0",BJ139,0)</f>
        <v>0</v>
      </c>
      <c r="AI139" s="8"/>
      <c r="AJ139" s="6">
        <f>IF(AN139=0,J139,0)</f>
        <v>0</v>
      </c>
      <c r="AK139" s="6">
        <f>IF(AN139=15,J139,0)</f>
        <v>0</v>
      </c>
      <c r="AL139" s="6">
        <f>IF(AN139=21,J139,0)</f>
        <v>0</v>
      </c>
      <c r="AN139" s="11">
        <v>21</v>
      </c>
      <c r="AO139" s="11">
        <f>G139*0.727810650887574</f>
        <v>0</v>
      </c>
      <c r="AP139" s="11">
        <f>G139*(1-0.727810650887574)</f>
        <v>0</v>
      </c>
      <c r="AQ139" s="12" t="s">
        <v>13</v>
      </c>
      <c r="AV139" s="11">
        <f>AW139+AX139</f>
        <v>0</v>
      </c>
      <c r="AW139" s="11">
        <f>F139*AO139</f>
        <v>0</v>
      </c>
      <c r="AX139" s="11">
        <f>F139*AP139</f>
        <v>0</v>
      </c>
      <c r="AY139" s="14" t="s">
        <v>612</v>
      </c>
      <c r="AZ139" s="14" t="s">
        <v>626</v>
      </c>
      <c r="BA139" s="8" t="s">
        <v>629</v>
      </c>
      <c r="BC139" s="11">
        <f>AW139+AX139</f>
        <v>0</v>
      </c>
      <c r="BD139" s="11">
        <f>G139/(100-BE139)*100</f>
        <v>0</v>
      </c>
      <c r="BE139" s="11">
        <v>0</v>
      </c>
      <c r="BF139" s="11">
        <f>L139</f>
        <v>0.09648000000000001</v>
      </c>
      <c r="BH139" s="6">
        <f>F139*AO139</f>
        <v>0</v>
      </c>
      <c r="BI139" s="6">
        <f>F139*AP139</f>
        <v>0</v>
      </c>
      <c r="BJ139" s="6">
        <f>F139*G139</f>
        <v>0</v>
      </c>
      <c r="BK139" s="6" t="s">
        <v>634</v>
      </c>
      <c r="BL139" s="11">
        <v>764</v>
      </c>
    </row>
    <row r="140" spans="1:14" ht="12.75">
      <c r="A140" s="131"/>
      <c r="B140" s="132"/>
      <c r="C140" s="133" t="s">
        <v>373</v>
      </c>
      <c r="D140" s="134"/>
      <c r="E140" s="132"/>
      <c r="F140" s="135">
        <v>36</v>
      </c>
      <c r="G140" s="173"/>
      <c r="H140" s="132"/>
      <c r="I140" s="132"/>
      <c r="J140" s="132"/>
      <c r="K140" s="132"/>
      <c r="L140" s="132"/>
      <c r="M140" s="136"/>
      <c r="N140" s="1"/>
    </row>
    <row r="141" spans="1:14" ht="12.75">
      <c r="A141" s="131"/>
      <c r="B141" s="150" t="s">
        <v>154</v>
      </c>
      <c r="C141" s="255" t="s">
        <v>374</v>
      </c>
      <c r="D141" s="256"/>
      <c r="E141" s="256"/>
      <c r="F141" s="256"/>
      <c r="G141" s="256"/>
      <c r="H141" s="256"/>
      <c r="I141" s="256"/>
      <c r="J141" s="256"/>
      <c r="K141" s="256"/>
      <c r="L141" s="256"/>
      <c r="M141" s="257"/>
      <c r="N141" s="1"/>
    </row>
    <row r="142" spans="1:64" ht="12.75">
      <c r="A142" s="126" t="s">
        <v>57</v>
      </c>
      <c r="B142" s="127" t="s">
        <v>193</v>
      </c>
      <c r="C142" s="242" t="s">
        <v>375</v>
      </c>
      <c r="D142" s="243"/>
      <c r="E142" s="127" t="s">
        <v>565</v>
      </c>
      <c r="F142" s="128">
        <v>18.15</v>
      </c>
      <c r="G142" s="174"/>
      <c r="H142" s="129">
        <f>F142*AO142</f>
        <v>0</v>
      </c>
      <c r="I142" s="129">
        <f>F142*AP142</f>
        <v>0</v>
      </c>
      <c r="J142" s="129">
        <f>F142*G142</f>
        <v>0</v>
      </c>
      <c r="K142" s="129">
        <v>0.02527</v>
      </c>
      <c r="L142" s="129">
        <f>F142*K142</f>
        <v>0.45865049999999996</v>
      </c>
      <c r="M142" s="130" t="s">
        <v>593</v>
      </c>
      <c r="N142" s="1"/>
      <c r="Z142" s="11">
        <f>IF(AQ142="5",BJ142,0)</f>
        <v>0</v>
      </c>
      <c r="AB142" s="11">
        <f>IF(AQ142="1",BH142,0)</f>
        <v>0</v>
      </c>
      <c r="AC142" s="11">
        <f>IF(AQ142="1",BI142,0)</f>
        <v>0</v>
      </c>
      <c r="AD142" s="11">
        <f>IF(AQ142="7",BH142,0)</f>
        <v>0</v>
      </c>
      <c r="AE142" s="11">
        <f>IF(AQ142="7",BI142,0)</f>
        <v>0</v>
      </c>
      <c r="AF142" s="11">
        <f>IF(AQ142="2",BH142,0)</f>
        <v>0</v>
      </c>
      <c r="AG142" s="11">
        <f>IF(AQ142="2",BI142,0)</f>
        <v>0</v>
      </c>
      <c r="AH142" s="11">
        <f>IF(AQ142="0",BJ142,0)</f>
        <v>0</v>
      </c>
      <c r="AI142" s="8"/>
      <c r="AJ142" s="6">
        <f>IF(AN142=0,J142,0)</f>
        <v>0</v>
      </c>
      <c r="AK142" s="6">
        <f>IF(AN142=15,J142,0)</f>
        <v>0</v>
      </c>
      <c r="AL142" s="6">
        <f>IF(AN142=21,J142,0)</f>
        <v>0</v>
      </c>
      <c r="AN142" s="11">
        <v>21</v>
      </c>
      <c r="AO142" s="11">
        <f>G142*0.674300884955752</f>
        <v>0</v>
      </c>
      <c r="AP142" s="11">
        <f>G142*(1-0.674300884955752)</f>
        <v>0</v>
      </c>
      <c r="AQ142" s="12" t="s">
        <v>13</v>
      </c>
      <c r="AV142" s="11">
        <f>AW142+AX142</f>
        <v>0</v>
      </c>
      <c r="AW142" s="11">
        <f>F142*AO142</f>
        <v>0</v>
      </c>
      <c r="AX142" s="11">
        <f>F142*AP142</f>
        <v>0</v>
      </c>
      <c r="AY142" s="14" t="s">
        <v>612</v>
      </c>
      <c r="AZ142" s="14" t="s">
        <v>626</v>
      </c>
      <c r="BA142" s="8" t="s">
        <v>629</v>
      </c>
      <c r="BC142" s="11">
        <f>AW142+AX142</f>
        <v>0</v>
      </c>
      <c r="BD142" s="11">
        <f>G142/(100-BE142)*100</f>
        <v>0</v>
      </c>
      <c r="BE142" s="11">
        <v>0</v>
      </c>
      <c r="BF142" s="11">
        <f>L142</f>
        <v>0.45865049999999996</v>
      </c>
      <c r="BH142" s="6">
        <f>F142*AO142</f>
        <v>0</v>
      </c>
      <c r="BI142" s="6">
        <f>F142*AP142</f>
        <v>0</v>
      </c>
      <c r="BJ142" s="6">
        <f>F142*G142</f>
        <v>0</v>
      </c>
      <c r="BK142" s="6" t="s">
        <v>634</v>
      </c>
      <c r="BL142" s="11">
        <v>764</v>
      </c>
    </row>
    <row r="143" spans="1:14" ht="12.75">
      <c r="A143" s="131"/>
      <c r="B143" s="132"/>
      <c r="C143" s="133" t="s">
        <v>376</v>
      </c>
      <c r="D143" s="134"/>
      <c r="E143" s="132"/>
      <c r="F143" s="135">
        <v>10.352</v>
      </c>
      <c r="G143" s="173"/>
      <c r="H143" s="132"/>
      <c r="I143" s="132"/>
      <c r="J143" s="132"/>
      <c r="K143" s="132"/>
      <c r="L143" s="132"/>
      <c r="M143" s="136"/>
      <c r="N143" s="1"/>
    </row>
    <row r="144" spans="1:14" ht="12.75">
      <c r="A144" s="131"/>
      <c r="B144" s="132"/>
      <c r="C144" s="133" t="s">
        <v>377</v>
      </c>
      <c r="D144" s="134"/>
      <c r="E144" s="132"/>
      <c r="F144" s="135">
        <v>7.158</v>
      </c>
      <c r="G144" s="173"/>
      <c r="H144" s="132"/>
      <c r="I144" s="132"/>
      <c r="J144" s="132"/>
      <c r="K144" s="132"/>
      <c r="L144" s="132"/>
      <c r="M144" s="136"/>
      <c r="N144" s="1"/>
    </row>
    <row r="145" spans="1:14" ht="12.75">
      <c r="A145" s="131"/>
      <c r="B145" s="132"/>
      <c r="C145" s="133" t="s">
        <v>378</v>
      </c>
      <c r="D145" s="134"/>
      <c r="E145" s="132"/>
      <c r="F145" s="135">
        <v>0.64</v>
      </c>
      <c r="G145" s="173"/>
      <c r="H145" s="132"/>
      <c r="I145" s="132"/>
      <c r="J145" s="132"/>
      <c r="K145" s="132"/>
      <c r="L145" s="132"/>
      <c r="M145" s="136"/>
      <c r="N145" s="1"/>
    </row>
    <row r="146" spans="1:14" ht="12.75">
      <c r="A146" s="131"/>
      <c r="B146" s="144" t="s">
        <v>132</v>
      </c>
      <c r="C146" s="258" t="s">
        <v>379</v>
      </c>
      <c r="D146" s="259"/>
      <c r="E146" s="259"/>
      <c r="F146" s="259"/>
      <c r="G146" s="259"/>
      <c r="H146" s="259"/>
      <c r="I146" s="259"/>
      <c r="J146" s="259"/>
      <c r="K146" s="259"/>
      <c r="L146" s="259"/>
      <c r="M146" s="260"/>
      <c r="N146" s="1"/>
    </row>
    <row r="147" spans="1:64" ht="12.75">
      <c r="A147" s="126" t="s">
        <v>58</v>
      </c>
      <c r="B147" s="127" t="s">
        <v>194</v>
      </c>
      <c r="C147" s="242" t="s">
        <v>380</v>
      </c>
      <c r="D147" s="243"/>
      <c r="E147" s="127" t="s">
        <v>567</v>
      </c>
      <c r="F147" s="128">
        <v>162</v>
      </c>
      <c r="G147" s="174"/>
      <c r="H147" s="129">
        <f>F147*AO147</f>
        <v>0</v>
      </c>
      <c r="I147" s="129">
        <f>F147*AP147</f>
        <v>0</v>
      </c>
      <c r="J147" s="129">
        <f>F147*G147</f>
        <v>0</v>
      </c>
      <c r="K147" s="129">
        <v>0.00263</v>
      </c>
      <c r="L147" s="129">
        <f>F147*K147</f>
        <v>0.42606</v>
      </c>
      <c r="M147" s="130" t="s">
        <v>593</v>
      </c>
      <c r="N147" s="1"/>
      <c r="Z147" s="11">
        <f>IF(AQ147="5",BJ147,0)</f>
        <v>0</v>
      </c>
      <c r="AB147" s="11">
        <f>IF(AQ147="1",BH147,0)</f>
        <v>0</v>
      </c>
      <c r="AC147" s="11">
        <f>IF(AQ147="1",BI147,0)</f>
        <v>0</v>
      </c>
      <c r="AD147" s="11">
        <f>IF(AQ147="7",BH147,0)</f>
        <v>0</v>
      </c>
      <c r="AE147" s="11">
        <f>IF(AQ147="7",BI147,0)</f>
        <v>0</v>
      </c>
      <c r="AF147" s="11">
        <f>IF(AQ147="2",BH147,0)</f>
        <v>0</v>
      </c>
      <c r="AG147" s="11">
        <f>IF(AQ147="2",BI147,0)</f>
        <v>0</v>
      </c>
      <c r="AH147" s="11">
        <f>IF(AQ147="0",BJ147,0)</f>
        <v>0</v>
      </c>
      <c r="AI147" s="8"/>
      <c r="AJ147" s="6">
        <f>IF(AN147=0,J147,0)</f>
        <v>0</v>
      </c>
      <c r="AK147" s="6">
        <f>IF(AN147=15,J147,0)</f>
        <v>0</v>
      </c>
      <c r="AL147" s="6">
        <f>IF(AN147=21,J147,0)</f>
        <v>0</v>
      </c>
      <c r="AN147" s="11">
        <v>21</v>
      </c>
      <c r="AO147" s="11">
        <f>G147*0.609611111111111</f>
        <v>0</v>
      </c>
      <c r="AP147" s="11">
        <f>G147*(1-0.609611111111111)</f>
        <v>0</v>
      </c>
      <c r="AQ147" s="12" t="s">
        <v>13</v>
      </c>
      <c r="AV147" s="11">
        <f>AW147+AX147</f>
        <v>0</v>
      </c>
      <c r="AW147" s="11">
        <f>F147*AO147</f>
        <v>0</v>
      </c>
      <c r="AX147" s="11">
        <f>F147*AP147</f>
        <v>0</v>
      </c>
      <c r="AY147" s="14" t="s">
        <v>612</v>
      </c>
      <c r="AZ147" s="14" t="s">
        <v>626</v>
      </c>
      <c r="BA147" s="8" t="s">
        <v>629</v>
      </c>
      <c r="BC147" s="11">
        <f>AW147+AX147</f>
        <v>0</v>
      </c>
      <c r="BD147" s="11">
        <f>G147/(100-BE147)*100</f>
        <v>0</v>
      </c>
      <c r="BE147" s="11">
        <v>0</v>
      </c>
      <c r="BF147" s="11">
        <f>L147</f>
        <v>0.42606</v>
      </c>
      <c r="BH147" s="6">
        <f>F147*AO147</f>
        <v>0</v>
      </c>
      <c r="BI147" s="6">
        <f>F147*AP147</f>
        <v>0</v>
      </c>
      <c r="BJ147" s="6">
        <f>F147*G147</f>
        <v>0</v>
      </c>
      <c r="BK147" s="6" t="s">
        <v>634</v>
      </c>
      <c r="BL147" s="11">
        <v>764</v>
      </c>
    </row>
    <row r="148" spans="1:14" ht="12.75">
      <c r="A148" s="131"/>
      <c r="B148" s="132"/>
      <c r="C148" s="133" t="s">
        <v>381</v>
      </c>
      <c r="D148" s="134"/>
      <c r="E148" s="132"/>
      <c r="F148" s="135">
        <v>162</v>
      </c>
      <c r="G148" s="173"/>
      <c r="H148" s="132"/>
      <c r="I148" s="132"/>
      <c r="J148" s="132"/>
      <c r="K148" s="132"/>
      <c r="L148" s="132"/>
      <c r="M148" s="136"/>
      <c r="N148" s="1"/>
    </row>
    <row r="149" spans="1:14" ht="12.75">
      <c r="A149" s="131"/>
      <c r="B149" s="150" t="s">
        <v>154</v>
      </c>
      <c r="C149" s="255" t="s">
        <v>382</v>
      </c>
      <c r="D149" s="256"/>
      <c r="E149" s="256"/>
      <c r="F149" s="256"/>
      <c r="G149" s="256"/>
      <c r="H149" s="256"/>
      <c r="I149" s="256"/>
      <c r="J149" s="256"/>
      <c r="K149" s="256"/>
      <c r="L149" s="256"/>
      <c r="M149" s="257"/>
      <c r="N149" s="1"/>
    </row>
    <row r="150" spans="1:64" ht="12.75">
      <c r="A150" s="126" t="s">
        <v>59</v>
      </c>
      <c r="B150" s="127" t="s">
        <v>195</v>
      </c>
      <c r="C150" s="242" t="s">
        <v>383</v>
      </c>
      <c r="D150" s="243"/>
      <c r="E150" s="127" t="s">
        <v>567</v>
      </c>
      <c r="F150" s="128">
        <v>21</v>
      </c>
      <c r="G150" s="174"/>
      <c r="H150" s="129">
        <f>F150*AO150</f>
        <v>0</v>
      </c>
      <c r="I150" s="129">
        <f>F150*AP150</f>
        <v>0</v>
      </c>
      <c r="J150" s="129">
        <f>F150*G150</f>
        <v>0</v>
      </c>
      <c r="K150" s="129">
        <v>0.00311</v>
      </c>
      <c r="L150" s="129">
        <f>F150*K150</f>
        <v>0.06530999999999999</v>
      </c>
      <c r="M150" s="130" t="s">
        <v>593</v>
      </c>
      <c r="N150" s="1"/>
      <c r="Z150" s="11">
        <f>IF(AQ150="5",BJ150,0)</f>
        <v>0</v>
      </c>
      <c r="AB150" s="11">
        <f>IF(AQ150="1",BH150,0)</f>
        <v>0</v>
      </c>
      <c r="AC150" s="11">
        <f>IF(AQ150="1",BI150,0)</f>
        <v>0</v>
      </c>
      <c r="AD150" s="11">
        <f>IF(AQ150="7",BH150,0)</f>
        <v>0</v>
      </c>
      <c r="AE150" s="11">
        <f>IF(AQ150="7",BI150,0)</f>
        <v>0</v>
      </c>
      <c r="AF150" s="11">
        <f>IF(AQ150="2",BH150,0)</f>
        <v>0</v>
      </c>
      <c r="AG150" s="11">
        <f>IF(AQ150="2",BI150,0)</f>
        <v>0</v>
      </c>
      <c r="AH150" s="11">
        <f>IF(AQ150="0",BJ150,0)</f>
        <v>0</v>
      </c>
      <c r="AI150" s="8"/>
      <c r="AJ150" s="6">
        <f>IF(AN150=0,J150,0)</f>
        <v>0</v>
      </c>
      <c r="AK150" s="6">
        <f>IF(AN150=15,J150,0)</f>
        <v>0</v>
      </c>
      <c r="AL150" s="6">
        <f>IF(AN150=21,J150,0)</f>
        <v>0</v>
      </c>
      <c r="AN150" s="11">
        <v>21</v>
      </c>
      <c r="AO150" s="11">
        <f>G150*0.662373095703697</f>
        <v>0</v>
      </c>
      <c r="AP150" s="11">
        <f>G150*(1-0.662373095703697)</f>
        <v>0</v>
      </c>
      <c r="AQ150" s="12" t="s">
        <v>13</v>
      </c>
      <c r="AV150" s="11">
        <f>AW150+AX150</f>
        <v>0</v>
      </c>
      <c r="AW150" s="11">
        <f>F150*AO150</f>
        <v>0</v>
      </c>
      <c r="AX150" s="11">
        <f>F150*AP150</f>
        <v>0</v>
      </c>
      <c r="AY150" s="14" t="s">
        <v>612</v>
      </c>
      <c r="AZ150" s="14" t="s">
        <v>626</v>
      </c>
      <c r="BA150" s="8" t="s">
        <v>629</v>
      </c>
      <c r="BC150" s="11">
        <f>AW150+AX150</f>
        <v>0</v>
      </c>
      <c r="BD150" s="11">
        <f>G150/(100-BE150)*100</f>
        <v>0</v>
      </c>
      <c r="BE150" s="11">
        <v>0</v>
      </c>
      <c r="BF150" s="11">
        <f>L150</f>
        <v>0.06530999999999999</v>
      </c>
      <c r="BH150" s="6">
        <f>F150*AO150</f>
        <v>0</v>
      </c>
      <c r="BI150" s="6">
        <f>F150*AP150</f>
        <v>0</v>
      </c>
      <c r="BJ150" s="6">
        <f>F150*G150</f>
        <v>0</v>
      </c>
      <c r="BK150" s="6" t="s">
        <v>634</v>
      </c>
      <c r="BL150" s="11">
        <v>764</v>
      </c>
    </row>
    <row r="151" spans="1:14" ht="12.75">
      <c r="A151" s="131"/>
      <c r="B151" s="132"/>
      <c r="C151" s="133" t="s">
        <v>384</v>
      </c>
      <c r="D151" s="134"/>
      <c r="E151" s="132"/>
      <c r="F151" s="135">
        <v>21</v>
      </c>
      <c r="G151" s="173"/>
      <c r="H151" s="132"/>
      <c r="I151" s="132"/>
      <c r="J151" s="132"/>
      <c r="K151" s="132"/>
      <c r="L151" s="132"/>
      <c r="M151" s="136"/>
      <c r="N151" s="1"/>
    </row>
    <row r="152" spans="1:14" ht="12.75">
      <c r="A152" s="131"/>
      <c r="B152" s="150" t="s">
        <v>154</v>
      </c>
      <c r="C152" s="255" t="s">
        <v>385</v>
      </c>
      <c r="D152" s="256"/>
      <c r="E152" s="256"/>
      <c r="F152" s="256"/>
      <c r="G152" s="256"/>
      <c r="H152" s="256"/>
      <c r="I152" s="256"/>
      <c r="J152" s="256"/>
      <c r="K152" s="256"/>
      <c r="L152" s="256"/>
      <c r="M152" s="257"/>
      <c r="N152" s="1"/>
    </row>
    <row r="153" spans="1:64" ht="12.75">
      <c r="A153" s="126" t="s">
        <v>60</v>
      </c>
      <c r="B153" s="127" t="s">
        <v>196</v>
      </c>
      <c r="C153" s="242" t="s">
        <v>386</v>
      </c>
      <c r="D153" s="243"/>
      <c r="E153" s="127" t="s">
        <v>567</v>
      </c>
      <c r="F153" s="128">
        <v>48</v>
      </c>
      <c r="G153" s="174"/>
      <c r="H153" s="129">
        <f>F153*AO153</f>
        <v>0</v>
      </c>
      <c r="I153" s="129">
        <f>F153*AP153</f>
        <v>0</v>
      </c>
      <c r="J153" s="129">
        <f>F153*G153</f>
        <v>0</v>
      </c>
      <c r="K153" s="129">
        <v>0.00454</v>
      </c>
      <c r="L153" s="129">
        <f>F153*K153</f>
        <v>0.21792</v>
      </c>
      <c r="M153" s="130" t="s">
        <v>593</v>
      </c>
      <c r="N153" s="1"/>
      <c r="Z153" s="11">
        <f>IF(AQ153="5",BJ153,0)</f>
        <v>0</v>
      </c>
      <c r="AB153" s="11">
        <f>IF(AQ153="1",BH153,0)</f>
        <v>0</v>
      </c>
      <c r="AC153" s="11">
        <f>IF(AQ153="1",BI153,0)</f>
        <v>0</v>
      </c>
      <c r="AD153" s="11">
        <f>IF(AQ153="7",BH153,0)</f>
        <v>0</v>
      </c>
      <c r="AE153" s="11">
        <f>IF(AQ153="7",BI153,0)</f>
        <v>0</v>
      </c>
      <c r="AF153" s="11">
        <f>IF(AQ153="2",BH153,0)</f>
        <v>0</v>
      </c>
      <c r="AG153" s="11">
        <f>IF(AQ153="2",BI153,0)</f>
        <v>0</v>
      </c>
      <c r="AH153" s="11">
        <f>IF(AQ153="0",BJ153,0)</f>
        <v>0</v>
      </c>
      <c r="AI153" s="8"/>
      <c r="AJ153" s="6">
        <f>IF(AN153=0,J153,0)</f>
        <v>0</v>
      </c>
      <c r="AK153" s="6">
        <f>IF(AN153=15,J153,0)</f>
        <v>0</v>
      </c>
      <c r="AL153" s="6">
        <f>IF(AN153=21,J153,0)</f>
        <v>0</v>
      </c>
      <c r="AN153" s="11">
        <v>21</v>
      </c>
      <c r="AO153" s="11">
        <f>G153*0.625855443732845</f>
        <v>0</v>
      </c>
      <c r="AP153" s="11">
        <f>G153*(1-0.625855443732845)</f>
        <v>0</v>
      </c>
      <c r="AQ153" s="12" t="s">
        <v>13</v>
      </c>
      <c r="AV153" s="11">
        <f>AW153+AX153</f>
        <v>0</v>
      </c>
      <c r="AW153" s="11">
        <f>F153*AO153</f>
        <v>0</v>
      </c>
      <c r="AX153" s="11">
        <f>F153*AP153</f>
        <v>0</v>
      </c>
      <c r="AY153" s="14" t="s">
        <v>612</v>
      </c>
      <c r="AZ153" s="14" t="s">
        <v>626</v>
      </c>
      <c r="BA153" s="8" t="s">
        <v>629</v>
      </c>
      <c r="BC153" s="11">
        <f>AW153+AX153</f>
        <v>0</v>
      </c>
      <c r="BD153" s="11">
        <f>G153/(100-BE153)*100</f>
        <v>0</v>
      </c>
      <c r="BE153" s="11">
        <v>0</v>
      </c>
      <c r="BF153" s="11">
        <f>L153</f>
        <v>0.21792</v>
      </c>
      <c r="BH153" s="6">
        <f>F153*AO153</f>
        <v>0</v>
      </c>
      <c r="BI153" s="6">
        <f>F153*AP153</f>
        <v>0</v>
      </c>
      <c r="BJ153" s="6">
        <f>F153*G153</f>
        <v>0</v>
      </c>
      <c r="BK153" s="6" t="s">
        <v>634</v>
      </c>
      <c r="BL153" s="11">
        <v>764</v>
      </c>
    </row>
    <row r="154" spans="1:14" ht="12.75">
      <c r="A154" s="131"/>
      <c r="B154" s="132"/>
      <c r="C154" s="133" t="s">
        <v>54</v>
      </c>
      <c r="D154" s="134"/>
      <c r="E154" s="132"/>
      <c r="F154" s="135">
        <v>48</v>
      </c>
      <c r="G154" s="173"/>
      <c r="H154" s="132"/>
      <c r="I154" s="132"/>
      <c r="J154" s="132"/>
      <c r="K154" s="132"/>
      <c r="L154" s="132"/>
      <c r="M154" s="136"/>
      <c r="N154" s="1"/>
    </row>
    <row r="155" spans="1:14" ht="12.75">
      <c r="A155" s="131"/>
      <c r="B155" s="150" t="s">
        <v>154</v>
      </c>
      <c r="C155" s="255" t="s">
        <v>387</v>
      </c>
      <c r="D155" s="256"/>
      <c r="E155" s="256"/>
      <c r="F155" s="256"/>
      <c r="G155" s="256"/>
      <c r="H155" s="256"/>
      <c r="I155" s="256"/>
      <c r="J155" s="256"/>
      <c r="K155" s="256"/>
      <c r="L155" s="256"/>
      <c r="M155" s="257"/>
      <c r="N155" s="1"/>
    </row>
    <row r="156" spans="1:64" ht="12.75">
      <c r="A156" s="126" t="s">
        <v>61</v>
      </c>
      <c r="B156" s="127" t="s">
        <v>197</v>
      </c>
      <c r="C156" s="242" t="s">
        <v>388</v>
      </c>
      <c r="D156" s="243"/>
      <c r="E156" s="127" t="s">
        <v>567</v>
      </c>
      <c r="F156" s="128">
        <v>2.2</v>
      </c>
      <c r="G156" s="174"/>
      <c r="H156" s="129">
        <f>F156*AO156</f>
        <v>0</v>
      </c>
      <c r="I156" s="129">
        <f>F156*AP156</f>
        <v>0</v>
      </c>
      <c r="J156" s="129">
        <f>F156*G156</f>
        <v>0</v>
      </c>
      <c r="K156" s="129">
        <v>0.00339</v>
      </c>
      <c r="L156" s="129">
        <f>F156*K156</f>
        <v>0.007458</v>
      </c>
      <c r="M156" s="130" t="s">
        <v>593</v>
      </c>
      <c r="N156" s="1"/>
      <c r="Z156" s="11">
        <f>IF(AQ156="5",BJ156,0)</f>
        <v>0</v>
      </c>
      <c r="AB156" s="11">
        <f>IF(AQ156="1",BH156,0)</f>
        <v>0</v>
      </c>
      <c r="AC156" s="11">
        <f>IF(AQ156="1",BI156,0)</f>
        <v>0</v>
      </c>
      <c r="AD156" s="11">
        <f>IF(AQ156="7",BH156,0)</f>
        <v>0</v>
      </c>
      <c r="AE156" s="11">
        <f>IF(AQ156="7",BI156,0)</f>
        <v>0</v>
      </c>
      <c r="AF156" s="11">
        <f>IF(AQ156="2",BH156,0)</f>
        <v>0</v>
      </c>
      <c r="AG156" s="11">
        <f>IF(AQ156="2",BI156,0)</f>
        <v>0</v>
      </c>
      <c r="AH156" s="11">
        <f>IF(AQ156="0",BJ156,0)</f>
        <v>0</v>
      </c>
      <c r="AI156" s="8"/>
      <c r="AJ156" s="6">
        <f>IF(AN156=0,J156,0)</f>
        <v>0</v>
      </c>
      <c r="AK156" s="6">
        <f>IF(AN156=15,J156,0)</f>
        <v>0</v>
      </c>
      <c r="AL156" s="6">
        <f>IF(AN156=21,J156,0)</f>
        <v>0</v>
      </c>
      <c r="AN156" s="11">
        <v>21</v>
      </c>
      <c r="AO156" s="11">
        <f>G156*0.455876777251185</f>
        <v>0</v>
      </c>
      <c r="AP156" s="11">
        <f>G156*(1-0.455876777251185)</f>
        <v>0</v>
      </c>
      <c r="AQ156" s="12" t="s">
        <v>13</v>
      </c>
      <c r="AV156" s="11">
        <f>AW156+AX156</f>
        <v>0</v>
      </c>
      <c r="AW156" s="11">
        <f>F156*AO156</f>
        <v>0</v>
      </c>
      <c r="AX156" s="11">
        <f>F156*AP156</f>
        <v>0</v>
      </c>
      <c r="AY156" s="14" t="s">
        <v>612</v>
      </c>
      <c r="AZ156" s="14" t="s">
        <v>626</v>
      </c>
      <c r="BA156" s="8" t="s">
        <v>629</v>
      </c>
      <c r="BC156" s="11">
        <f>AW156+AX156</f>
        <v>0</v>
      </c>
      <c r="BD156" s="11">
        <f>G156/(100-BE156)*100</f>
        <v>0</v>
      </c>
      <c r="BE156" s="11">
        <v>0</v>
      </c>
      <c r="BF156" s="11">
        <f>L156</f>
        <v>0.007458</v>
      </c>
      <c r="BH156" s="6">
        <f>F156*AO156</f>
        <v>0</v>
      </c>
      <c r="BI156" s="6">
        <f>F156*AP156</f>
        <v>0</v>
      </c>
      <c r="BJ156" s="6">
        <f>F156*G156</f>
        <v>0</v>
      </c>
      <c r="BK156" s="6" t="s">
        <v>634</v>
      </c>
      <c r="BL156" s="11">
        <v>764</v>
      </c>
    </row>
    <row r="157" spans="1:14" ht="12.75">
      <c r="A157" s="131"/>
      <c r="B157" s="132"/>
      <c r="C157" s="133" t="s">
        <v>389</v>
      </c>
      <c r="D157" s="134"/>
      <c r="E157" s="132"/>
      <c r="F157" s="135">
        <v>2.2</v>
      </c>
      <c r="G157" s="173"/>
      <c r="H157" s="132"/>
      <c r="I157" s="132"/>
      <c r="J157" s="132"/>
      <c r="K157" s="132"/>
      <c r="L157" s="132"/>
      <c r="M157" s="136"/>
      <c r="N157" s="1"/>
    </row>
    <row r="158" spans="1:14" ht="12.75">
      <c r="A158" s="131"/>
      <c r="B158" s="150" t="s">
        <v>154</v>
      </c>
      <c r="C158" s="255" t="s">
        <v>390</v>
      </c>
      <c r="D158" s="256"/>
      <c r="E158" s="256"/>
      <c r="F158" s="256"/>
      <c r="G158" s="256"/>
      <c r="H158" s="256"/>
      <c r="I158" s="256"/>
      <c r="J158" s="256"/>
      <c r="K158" s="256"/>
      <c r="L158" s="256"/>
      <c r="M158" s="257"/>
      <c r="N158" s="1"/>
    </row>
    <row r="159" spans="1:64" ht="12.75">
      <c r="A159" s="126" t="s">
        <v>62</v>
      </c>
      <c r="B159" s="127" t="s">
        <v>198</v>
      </c>
      <c r="C159" s="242" t="s">
        <v>391</v>
      </c>
      <c r="D159" s="243"/>
      <c r="E159" s="127" t="s">
        <v>567</v>
      </c>
      <c r="F159" s="128">
        <v>18.5</v>
      </c>
      <c r="G159" s="174"/>
      <c r="H159" s="129">
        <f>F159*AO159</f>
        <v>0</v>
      </c>
      <c r="I159" s="129">
        <f>F159*AP159</f>
        <v>0</v>
      </c>
      <c r="J159" s="129">
        <f>F159*G159</f>
        <v>0</v>
      </c>
      <c r="K159" s="129">
        <v>0.00316</v>
      </c>
      <c r="L159" s="129">
        <f>F159*K159</f>
        <v>0.05846</v>
      </c>
      <c r="M159" s="130" t="s">
        <v>593</v>
      </c>
      <c r="N159" s="1"/>
      <c r="Z159" s="11">
        <f>IF(AQ159="5",BJ159,0)</f>
        <v>0</v>
      </c>
      <c r="AB159" s="11">
        <f>IF(AQ159="1",BH159,0)</f>
        <v>0</v>
      </c>
      <c r="AC159" s="11">
        <f>IF(AQ159="1",BI159,0)</f>
        <v>0</v>
      </c>
      <c r="AD159" s="11">
        <f>IF(AQ159="7",BH159,0)</f>
        <v>0</v>
      </c>
      <c r="AE159" s="11">
        <f>IF(AQ159="7",BI159,0)</f>
        <v>0</v>
      </c>
      <c r="AF159" s="11">
        <f>IF(AQ159="2",BH159,0)</f>
        <v>0</v>
      </c>
      <c r="AG159" s="11">
        <f>IF(AQ159="2",BI159,0)</f>
        <v>0</v>
      </c>
      <c r="AH159" s="11">
        <f>IF(AQ159="0",BJ159,0)</f>
        <v>0</v>
      </c>
      <c r="AI159" s="8"/>
      <c r="AJ159" s="6">
        <f>IF(AN159=0,J159,0)</f>
        <v>0</v>
      </c>
      <c r="AK159" s="6">
        <f>IF(AN159=15,J159,0)</f>
        <v>0</v>
      </c>
      <c r="AL159" s="6">
        <f>IF(AN159=21,J159,0)</f>
        <v>0</v>
      </c>
      <c r="AN159" s="11">
        <v>21</v>
      </c>
      <c r="AO159" s="11">
        <f>G159*0.417425614489004</f>
        <v>0</v>
      </c>
      <c r="AP159" s="11">
        <f>G159*(1-0.417425614489004)</f>
        <v>0</v>
      </c>
      <c r="AQ159" s="12" t="s">
        <v>13</v>
      </c>
      <c r="AV159" s="11">
        <f>AW159+AX159</f>
        <v>0</v>
      </c>
      <c r="AW159" s="11">
        <f>F159*AO159</f>
        <v>0</v>
      </c>
      <c r="AX159" s="11">
        <f>F159*AP159</f>
        <v>0</v>
      </c>
      <c r="AY159" s="14" t="s">
        <v>612</v>
      </c>
      <c r="AZ159" s="14" t="s">
        <v>626</v>
      </c>
      <c r="BA159" s="8" t="s">
        <v>629</v>
      </c>
      <c r="BC159" s="11">
        <f>AW159+AX159</f>
        <v>0</v>
      </c>
      <c r="BD159" s="11">
        <f>G159/(100-BE159)*100</f>
        <v>0</v>
      </c>
      <c r="BE159" s="11">
        <v>0</v>
      </c>
      <c r="BF159" s="11">
        <f>L159</f>
        <v>0.05846</v>
      </c>
      <c r="BH159" s="6">
        <f>F159*AO159</f>
        <v>0</v>
      </c>
      <c r="BI159" s="6">
        <f>F159*AP159</f>
        <v>0</v>
      </c>
      <c r="BJ159" s="6">
        <f>F159*G159</f>
        <v>0</v>
      </c>
      <c r="BK159" s="6" t="s">
        <v>634</v>
      </c>
      <c r="BL159" s="11">
        <v>764</v>
      </c>
    </row>
    <row r="160" spans="1:14" ht="12.75">
      <c r="A160" s="131"/>
      <c r="B160" s="132"/>
      <c r="C160" s="133" t="s">
        <v>392</v>
      </c>
      <c r="D160" s="134"/>
      <c r="E160" s="132"/>
      <c r="F160" s="135">
        <v>18.5</v>
      </c>
      <c r="G160" s="173"/>
      <c r="H160" s="132"/>
      <c r="I160" s="132"/>
      <c r="J160" s="132"/>
      <c r="K160" s="132"/>
      <c r="L160" s="132"/>
      <c r="M160" s="136"/>
      <c r="N160" s="1"/>
    </row>
    <row r="161" spans="1:14" ht="12.75">
      <c r="A161" s="131"/>
      <c r="B161" s="150" t="s">
        <v>154</v>
      </c>
      <c r="C161" s="255" t="s">
        <v>393</v>
      </c>
      <c r="D161" s="256"/>
      <c r="E161" s="256"/>
      <c r="F161" s="256"/>
      <c r="G161" s="256"/>
      <c r="H161" s="256"/>
      <c r="I161" s="256"/>
      <c r="J161" s="256"/>
      <c r="K161" s="256"/>
      <c r="L161" s="256"/>
      <c r="M161" s="257"/>
      <c r="N161" s="1"/>
    </row>
    <row r="162" spans="1:64" ht="12.75">
      <c r="A162" s="126" t="s">
        <v>63</v>
      </c>
      <c r="B162" s="127" t="s">
        <v>199</v>
      </c>
      <c r="C162" s="242" t="s">
        <v>394</v>
      </c>
      <c r="D162" s="243"/>
      <c r="E162" s="127" t="s">
        <v>567</v>
      </c>
      <c r="F162" s="128">
        <v>7.3</v>
      </c>
      <c r="G162" s="174"/>
      <c r="H162" s="129">
        <f>F162*AO162</f>
        <v>0</v>
      </c>
      <c r="I162" s="129">
        <f>F162*AP162</f>
        <v>0</v>
      </c>
      <c r="J162" s="129">
        <f>F162*G162</f>
        <v>0</v>
      </c>
      <c r="K162" s="129">
        <v>0.00369</v>
      </c>
      <c r="L162" s="129">
        <f>F162*K162</f>
        <v>0.026937</v>
      </c>
      <c r="M162" s="130" t="s">
        <v>593</v>
      </c>
      <c r="N162" s="1"/>
      <c r="Z162" s="11">
        <f>IF(AQ162="5",BJ162,0)</f>
        <v>0</v>
      </c>
      <c r="AB162" s="11">
        <f>IF(AQ162="1",BH162,0)</f>
        <v>0</v>
      </c>
      <c r="AC162" s="11">
        <f>IF(AQ162="1",BI162,0)</f>
        <v>0</v>
      </c>
      <c r="AD162" s="11">
        <f>IF(AQ162="7",BH162,0)</f>
        <v>0</v>
      </c>
      <c r="AE162" s="11">
        <f>IF(AQ162="7",BI162,0)</f>
        <v>0</v>
      </c>
      <c r="AF162" s="11">
        <f>IF(AQ162="2",BH162,0)</f>
        <v>0</v>
      </c>
      <c r="AG162" s="11">
        <f>IF(AQ162="2",BI162,0)</f>
        <v>0</v>
      </c>
      <c r="AH162" s="11">
        <f>IF(AQ162="0",BJ162,0)</f>
        <v>0</v>
      </c>
      <c r="AI162" s="8"/>
      <c r="AJ162" s="6">
        <f>IF(AN162=0,J162,0)</f>
        <v>0</v>
      </c>
      <c r="AK162" s="6">
        <f>IF(AN162=15,J162,0)</f>
        <v>0</v>
      </c>
      <c r="AL162" s="6">
        <f>IF(AN162=21,J162,0)</f>
        <v>0</v>
      </c>
      <c r="AN162" s="11">
        <v>21</v>
      </c>
      <c r="AO162" s="11">
        <f>G162*0.497446220591276</f>
        <v>0</v>
      </c>
      <c r="AP162" s="11">
        <f>G162*(1-0.497446220591276)</f>
        <v>0</v>
      </c>
      <c r="AQ162" s="12" t="s">
        <v>13</v>
      </c>
      <c r="AV162" s="11">
        <f>AW162+AX162</f>
        <v>0</v>
      </c>
      <c r="AW162" s="11">
        <f>F162*AO162</f>
        <v>0</v>
      </c>
      <c r="AX162" s="11">
        <f>F162*AP162</f>
        <v>0</v>
      </c>
      <c r="AY162" s="14" t="s">
        <v>612</v>
      </c>
      <c r="AZ162" s="14" t="s">
        <v>626</v>
      </c>
      <c r="BA162" s="8" t="s">
        <v>629</v>
      </c>
      <c r="BC162" s="11">
        <f>AW162+AX162</f>
        <v>0</v>
      </c>
      <c r="BD162" s="11">
        <f>G162/(100-BE162)*100</f>
        <v>0</v>
      </c>
      <c r="BE162" s="11">
        <v>0</v>
      </c>
      <c r="BF162" s="11">
        <f>L162</f>
        <v>0.026937</v>
      </c>
      <c r="BH162" s="6">
        <f>F162*AO162</f>
        <v>0</v>
      </c>
      <c r="BI162" s="6">
        <f>F162*AP162</f>
        <v>0</v>
      </c>
      <c r="BJ162" s="6">
        <f>F162*G162</f>
        <v>0</v>
      </c>
      <c r="BK162" s="6" t="s">
        <v>634</v>
      </c>
      <c r="BL162" s="11">
        <v>764</v>
      </c>
    </row>
    <row r="163" spans="1:14" ht="12.75">
      <c r="A163" s="131"/>
      <c r="B163" s="132"/>
      <c r="C163" s="133" t="s">
        <v>395</v>
      </c>
      <c r="D163" s="134"/>
      <c r="E163" s="132"/>
      <c r="F163" s="135">
        <v>7.3</v>
      </c>
      <c r="G163" s="173"/>
      <c r="H163" s="132"/>
      <c r="I163" s="132"/>
      <c r="J163" s="132"/>
      <c r="K163" s="132"/>
      <c r="L163" s="132"/>
      <c r="M163" s="136"/>
      <c r="N163" s="1"/>
    </row>
    <row r="164" spans="1:14" ht="12.75">
      <c r="A164" s="131"/>
      <c r="B164" s="150" t="s">
        <v>154</v>
      </c>
      <c r="C164" s="255" t="s">
        <v>396</v>
      </c>
      <c r="D164" s="256"/>
      <c r="E164" s="256"/>
      <c r="F164" s="256"/>
      <c r="G164" s="256"/>
      <c r="H164" s="256"/>
      <c r="I164" s="256"/>
      <c r="J164" s="256"/>
      <c r="K164" s="256"/>
      <c r="L164" s="256"/>
      <c r="M164" s="257"/>
      <c r="N164" s="1"/>
    </row>
    <row r="165" spans="1:64" ht="12.75">
      <c r="A165" s="126" t="s">
        <v>64</v>
      </c>
      <c r="B165" s="127" t="s">
        <v>200</v>
      </c>
      <c r="C165" s="242" t="s">
        <v>397</v>
      </c>
      <c r="D165" s="243"/>
      <c r="E165" s="127" t="s">
        <v>567</v>
      </c>
      <c r="F165" s="128">
        <v>36</v>
      </c>
      <c r="G165" s="174"/>
      <c r="H165" s="129">
        <f>F165*AO165</f>
        <v>0</v>
      </c>
      <c r="I165" s="129">
        <f>F165*AP165</f>
        <v>0</v>
      </c>
      <c r="J165" s="129">
        <f>F165*G165</f>
        <v>0</v>
      </c>
      <c r="K165" s="129">
        <v>0.00536</v>
      </c>
      <c r="L165" s="129">
        <f>F165*K165</f>
        <v>0.19296000000000002</v>
      </c>
      <c r="M165" s="130" t="s">
        <v>593</v>
      </c>
      <c r="N165" s="1"/>
      <c r="Z165" s="11">
        <f>IF(AQ165="5",BJ165,0)</f>
        <v>0</v>
      </c>
      <c r="AB165" s="11">
        <f>IF(AQ165="1",BH165,0)</f>
        <v>0</v>
      </c>
      <c r="AC165" s="11">
        <f>IF(AQ165="1",BI165,0)</f>
        <v>0</v>
      </c>
      <c r="AD165" s="11">
        <f>IF(AQ165="7",BH165,0)</f>
        <v>0</v>
      </c>
      <c r="AE165" s="11">
        <f>IF(AQ165="7",BI165,0)</f>
        <v>0</v>
      </c>
      <c r="AF165" s="11">
        <f>IF(AQ165="2",BH165,0)</f>
        <v>0</v>
      </c>
      <c r="AG165" s="11">
        <f>IF(AQ165="2",BI165,0)</f>
        <v>0</v>
      </c>
      <c r="AH165" s="11">
        <f>IF(AQ165="0",BJ165,0)</f>
        <v>0</v>
      </c>
      <c r="AI165" s="8"/>
      <c r="AJ165" s="6">
        <f>IF(AN165=0,J165,0)</f>
        <v>0</v>
      </c>
      <c r="AK165" s="6">
        <f>IF(AN165=15,J165,0)</f>
        <v>0</v>
      </c>
      <c r="AL165" s="6">
        <f>IF(AN165=21,J165,0)</f>
        <v>0</v>
      </c>
      <c r="AN165" s="11">
        <v>21</v>
      </c>
      <c r="AO165" s="11">
        <f>G165*0.666968485324402</f>
        <v>0</v>
      </c>
      <c r="AP165" s="11">
        <f>G165*(1-0.666968485324402)</f>
        <v>0</v>
      </c>
      <c r="AQ165" s="12" t="s">
        <v>13</v>
      </c>
      <c r="AV165" s="11">
        <f>AW165+AX165</f>
        <v>0</v>
      </c>
      <c r="AW165" s="11">
        <f>F165*AO165</f>
        <v>0</v>
      </c>
      <c r="AX165" s="11">
        <f>F165*AP165</f>
        <v>0</v>
      </c>
      <c r="AY165" s="14" t="s">
        <v>612</v>
      </c>
      <c r="AZ165" s="14" t="s">
        <v>626</v>
      </c>
      <c r="BA165" s="8" t="s">
        <v>629</v>
      </c>
      <c r="BC165" s="11">
        <f>AW165+AX165</f>
        <v>0</v>
      </c>
      <c r="BD165" s="11">
        <f>G165/(100-BE165)*100</f>
        <v>0</v>
      </c>
      <c r="BE165" s="11">
        <v>0</v>
      </c>
      <c r="BF165" s="11">
        <f>L165</f>
        <v>0.19296000000000002</v>
      </c>
      <c r="BH165" s="6">
        <f>F165*AO165</f>
        <v>0</v>
      </c>
      <c r="BI165" s="6">
        <f>F165*AP165</f>
        <v>0</v>
      </c>
      <c r="BJ165" s="6">
        <f>F165*G165</f>
        <v>0</v>
      </c>
      <c r="BK165" s="6" t="s">
        <v>634</v>
      </c>
      <c r="BL165" s="11">
        <v>764</v>
      </c>
    </row>
    <row r="166" spans="1:14" ht="12.75">
      <c r="A166" s="131"/>
      <c r="B166" s="132"/>
      <c r="C166" s="133" t="s">
        <v>373</v>
      </c>
      <c r="D166" s="134"/>
      <c r="E166" s="132"/>
      <c r="F166" s="135">
        <v>36</v>
      </c>
      <c r="G166" s="173"/>
      <c r="H166" s="132"/>
      <c r="I166" s="132"/>
      <c r="J166" s="132"/>
      <c r="K166" s="132"/>
      <c r="L166" s="132"/>
      <c r="M166" s="136"/>
      <c r="N166" s="1"/>
    </row>
    <row r="167" spans="1:14" ht="12.75">
      <c r="A167" s="131"/>
      <c r="B167" s="150" t="s">
        <v>154</v>
      </c>
      <c r="C167" s="255" t="s">
        <v>398</v>
      </c>
      <c r="D167" s="256"/>
      <c r="E167" s="256"/>
      <c r="F167" s="256"/>
      <c r="G167" s="256"/>
      <c r="H167" s="256"/>
      <c r="I167" s="256"/>
      <c r="J167" s="256"/>
      <c r="K167" s="256"/>
      <c r="L167" s="256"/>
      <c r="M167" s="257"/>
      <c r="N167" s="1"/>
    </row>
    <row r="168" spans="1:64" ht="12.75">
      <c r="A168" s="126" t="s">
        <v>65</v>
      </c>
      <c r="B168" s="127" t="s">
        <v>188</v>
      </c>
      <c r="C168" s="242" t="s">
        <v>361</v>
      </c>
      <c r="D168" s="243"/>
      <c r="E168" s="127" t="s">
        <v>567</v>
      </c>
      <c r="F168" s="128">
        <v>501</v>
      </c>
      <c r="G168" s="174"/>
      <c r="H168" s="129">
        <f>F168*AO168</f>
        <v>0</v>
      </c>
      <c r="I168" s="129">
        <f>F168*AP168</f>
        <v>0</v>
      </c>
      <c r="J168" s="129">
        <f>F168*G168</f>
        <v>0</v>
      </c>
      <c r="K168" s="129">
        <v>0.00365</v>
      </c>
      <c r="L168" s="129">
        <f>F168*K168</f>
        <v>1.82865</v>
      </c>
      <c r="M168" s="130" t="s">
        <v>593</v>
      </c>
      <c r="N168" s="1"/>
      <c r="Z168" s="11">
        <f>IF(AQ168="5",BJ168,0)</f>
        <v>0</v>
      </c>
      <c r="AB168" s="11">
        <f>IF(AQ168="1",BH168,0)</f>
        <v>0</v>
      </c>
      <c r="AC168" s="11">
        <f>IF(AQ168="1",BI168,0)</f>
        <v>0</v>
      </c>
      <c r="AD168" s="11">
        <f>IF(AQ168="7",BH168,0)</f>
        <v>0</v>
      </c>
      <c r="AE168" s="11">
        <f>IF(AQ168="7",BI168,0)</f>
        <v>0</v>
      </c>
      <c r="AF168" s="11">
        <f>IF(AQ168="2",BH168,0)</f>
        <v>0</v>
      </c>
      <c r="AG168" s="11">
        <f>IF(AQ168="2",BI168,0)</f>
        <v>0</v>
      </c>
      <c r="AH168" s="11">
        <f>IF(AQ168="0",BJ168,0)</f>
        <v>0</v>
      </c>
      <c r="AI168" s="8"/>
      <c r="AJ168" s="6">
        <f>IF(AN168=0,J168,0)</f>
        <v>0</v>
      </c>
      <c r="AK168" s="6">
        <f>IF(AN168=15,J168,0)</f>
        <v>0</v>
      </c>
      <c r="AL168" s="6">
        <f>IF(AN168=21,J168,0)</f>
        <v>0</v>
      </c>
      <c r="AN168" s="11">
        <v>21</v>
      </c>
      <c r="AO168" s="11">
        <f>G168*0.542374541003672</f>
        <v>0</v>
      </c>
      <c r="AP168" s="11">
        <f>G168*(1-0.542374541003672)</f>
        <v>0</v>
      </c>
      <c r="AQ168" s="12" t="s">
        <v>13</v>
      </c>
      <c r="AV168" s="11">
        <f>AW168+AX168</f>
        <v>0</v>
      </c>
      <c r="AW168" s="11">
        <f>F168*AO168</f>
        <v>0</v>
      </c>
      <c r="AX168" s="11">
        <f>F168*AP168</f>
        <v>0</v>
      </c>
      <c r="AY168" s="14" t="s">
        <v>612</v>
      </c>
      <c r="AZ168" s="14" t="s">
        <v>626</v>
      </c>
      <c r="BA168" s="8" t="s">
        <v>629</v>
      </c>
      <c r="BC168" s="11">
        <f>AW168+AX168</f>
        <v>0</v>
      </c>
      <c r="BD168" s="11">
        <f>G168/(100-BE168)*100</f>
        <v>0</v>
      </c>
      <c r="BE168" s="11">
        <v>0</v>
      </c>
      <c r="BF168" s="11">
        <f>L168</f>
        <v>1.82865</v>
      </c>
      <c r="BH168" s="6">
        <f>F168*AO168</f>
        <v>0</v>
      </c>
      <c r="BI168" s="6">
        <f>F168*AP168</f>
        <v>0</v>
      </c>
      <c r="BJ168" s="6">
        <f>F168*G168</f>
        <v>0</v>
      </c>
      <c r="BK168" s="6" t="s">
        <v>634</v>
      </c>
      <c r="BL168" s="11">
        <v>764</v>
      </c>
    </row>
    <row r="169" spans="1:14" ht="12.75">
      <c r="A169" s="131"/>
      <c r="B169" s="132"/>
      <c r="C169" s="133" t="s">
        <v>399</v>
      </c>
      <c r="D169" s="134"/>
      <c r="E169" s="132"/>
      <c r="F169" s="135">
        <v>501</v>
      </c>
      <c r="G169" s="173"/>
      <c r="H169" s="132"/>
      <c r="I169" s="132"/>
      <c r="J169" s="132"/>
      <c r="K169" s="132"/>
      <c r="L169" s="132"/>
      <c r="M169" s="136"/>
      <c r="N169" s="1"/>
    </row>
    <row r="170" spans="1:14" ht="12.75">
      <c r="A170" s="131"/>
      <c r="B170" s="150" t="s">
        <v>154</v>
      </c>
      <c r="C170" s="255" t="s">
        <v>400</v>
      </c>
      <c r="D170" s="256"/>
      <c r="E170" s="256"/>
      <c r="F170" s="256"/>
      <c r="G170" s="256"/>
      <c r="H170" s="256"/>
      <c r="I170" s="256"/>
      <c r="J170" s="256"/>
      <c r="K170" s="256"/>
      <c r="L170" s="256"/>
      <c r="M170" s="257"/>
      <c r="N170" s="1"/>
    </row>
    <row r="171" spans="1:64" ht="12.75">
      <c r="A171" s="126" t="s">
        <v>66</v>
      </c>
      <c r="B171" s="127" t="s">
        <v>201</v>
      </c>
      <c r="C171" s="242" t="s">
        <v>401</v>
      </c>
      <c r="D171" s="243"/>
      <c r="E171" s="127" t="s">
        <v>565</v>
      </c>
      <c r="F171" s="128">
        <v>5.4</v>
      </c>
      <c r="G171" s="174"/>
      <c r="H171" s="129">
        <f>F171*AO171</f>
        <v>0</v>
      </c>
      <c r="I171" s="129">
        <f>F171*AP171</f>
        <v>0</v>
      </c>
      <c r="J171" s="129">
        <f>F171*G171</f>
        <v>0</v>
      </c>
      <c r="K171" s="129">
        <v>0.02672</v>
      </c>
      <c r="L171" s="129">
        <f>F171*K171</f>
        <v>0.144288</v>
      </c>
      <c r="M171" s="130" t="s">
        <v>593</v>
      </c>
      <c r="N171" s="1"/>
      <c r="Z171" s="11">
        <f>IF(AQ171="5",BJ171,0)</f>
        <v>0</v>
      </c>
      <c r="AB171" s="11">
        <f>IF(AQ171="1",BH171,0)</f>
        <v>0</v>
      </c>
      <c r="AC171" s="11">
        <f>IF(AQ171="1",BI171,0)</f>
        <v>0</v>
      </c>
      <c r="AD171" s="11">
        <f>IF(AQ171="7",BH171,0)</f>
        <v>0</v>
      </c>
      <c r="AE171" s="11">
        <f>IF(AQ171="7",BI171,0)</f>
        <v>0</v>
      </c>
      <c r="AF171" s="11">
        <f>IF(AQ171="2",BH171,0)</f>
        <v>0</v>
      </c>
      <c r="AG171" s="11">
        <f>IF(AQ171="2",BI171,0)</f>
        <v>0</v>
      </c>
      <c r="AH171" s="11">
        <f>IF(AQ171="0",BJ171,0)</f>
        <v>0</v>
      </c>
      <c r="AI171" s="8"/>
      <c r="AJ171" s="6">
        <f>IF(AN171=0,J171,0)</f>
        <v>0</v>
      </c>
      <c r="AK171" s="6">
        <f>IF(AN171=15,J171,0)</f>
        <v>0</v>
      </c>
      <c r="AL171" s="6">
        <f>IF(AN171=21,J171,0)</f>
        <v>0</v>
      </c>
      <c r="AN171" s="11">
        <v>21</v>
      </c>
      <c r="AO171" s="11">
        <f>G171*0.0199115208131855</f>
        <v>0</v>
      </c>
      <c r="AP171" s="11">
        <f>G171*(1-0.0199115208131855)</f>
        <v>0</v>
      </c>
      <c r="AQ171" s="12" t="s">
        <v>13</v>
      </c>
      <c r="AV171" s="11">
        <f>AW171+AX171</f>
        <v>0</v>
      </c>
      <c r="AW171" s="11">
        <f>F171*AO171</f>
        <v>0</v>
      </c>
      <c r="AX171" s="11">
        <f>F171*AP171</f>
        <v>0</v>
      </c>
      <c r="AY171" s="14" t="s">
        <v>612</v>
      </c>
      <c r="AZ171" s="14" t="s">
        <v>626</v>
      </c>
      <c r="BA171" s="8" t="s">
        <v>629</v>
      </c>
      <c r="BC171" s="11">
        <f>AW171+AX171</f>
        <v>0</v>
      </c>
      <c r="BD171" s="11">
        <f>G171/(100-BE171)*100</f>
        <v>0</v>
      </c>
      <c r="BE171" s="11">
        <v>0</v>
      </c>
      <c r="BF171" s="11">
        <f>L171</f>
        <v>0.144288</v>
      </c>
      <c r="BH171" s="6">
        <f>F171*AO171</f>
        <v>0</v>
      </c>
      <c r="BI171" s="6">
        <f>F171*AP171</f>
        <v>0</v>
      </c>
      <c r="BJ171" s="6">
        <f>F171*G171</f>
        <v>0</v>
      </c>
      <c r="BK171" s="6" t="s">
        <v>634</v>
      </c>
      <c r="BL171" s="11">
        <v>764</v>
      </c>
    </row>
    <row r="172" spans="1:14" ht="12.75">
      <c r="A172" s="131"/>
      <c r="B172" s="132"/>
      <c r="C172" s="133" t="s">
        <v>402</v>
      </c>
      <c r="D172" s="134"/>
      <c r="E172" s="132"/>
      <c r="F172" s="135">
        <v>5.4</v>
      </c>
      <c r="G172" s="173"/>
      <c r="H172" s="132"/>
      <c r="I172" s="132"/>
      <c r="J172" s="132"/>
      <c r="K172" s="132"/>
      <c r="L172" s="132"/>
      <c r="M172" s="136"/>
      <c r="N172" s="1"/>
    </row>
    <row r="173" spans="1:14" ht="12.75">
      <c r="A173" s="131"/>
      <c r="B173" s="144" t="s">
        <v>132</v>
      </c>
      <c r="C173" s="258" t="s">
        <v>403</v>
      </c>
      <c r="D173" s="259"/>
      <c r="E173" s="259"/>
      <c r="F173" s="259"/>
      <c r="G173" s="259"/>
      <c r="H173" s="259"/>
      <c r="I173" s="259"/>
      <c r="J173" s="259"/>
      <c r="K173" s="259"/>
      <c r="L173" s="259"/>
      <c r="M173" s="260"/>
      <c r="N173" s="1"/>
    </row>
    <row r="174" spans="1:14" ht="12.75">
      <c r="A174" s="131"/>
      <c r="B174" s="150" t="s">
        <v>154</v>
      </c>
      <c r="C174" s="255" t="s">
        <v>404</v>
      </c>
      <c r="D174" s="256"/>
      <c r="E174" s="256"/>
      <c r="F174" s="256"/>
      <c r="G174" s="256"/>
      <c r="H174" s="256"/>
      <c r="I174" s="256"/>
      <c r="J174" s="256"/>
      <c r="K174" s="256"/>
      <c r="L174" s="256"/>
      <c r="M174" s="257"/>
      <c r="N174" s="1"/>
    </row>
    <row r="175" spans="1:64" ht="12.75">
      <c r="A175" s="126" t="s">
        <v>67</v>
      </c>
      <c r="B175" s="127" t="s">
        <v>202</v>
      </c>
      <c r="C175" s="242" t="s">
        <v>405</v>
      </c>
      <c r="D175" s="243"/>
      <c r="E175" s="127" t="s">
        <v>568</v>
      </c>
      <c r="F175" s="128">
        <v>8.869</v>
      </c>
      <c r="G175" s="174"/>
      <c r="H175" s="129">
        <f>F175*AO175</f>
        <v>0</v>
      </c>
      <c r="I175" s="129">
        <f>F175*AP175</f>
        <v>0</v>
      </c>
      <c r="J175" s="129">
        <f>F175*G175</f>
        <v>0</v>
      </c>
      <c r="K175" s="129">
        <v>0</v>
      </c>
      <c r="L175" s="129">
        <f>F175*K175</f>
        <v>0</v>
      </c>
      <c r="M175" s="130" t="s">
        <v>593</v>
      </c>
      <c r="N175" s="1"/>
      <c r="Z175" s="11">
        <f>IF(AQ175="5",BJ175,0)</f>
        <v>0</v>
      </c>
      <c r="AB175" s="11">
        <f>IF(AQ175="1",BH175,0)</f>
        <v>0</v>
      </c>
      <c r="AC175" s="11">
        <f>IF(AQ175="1",BI175,0)</f>
        <v>0</v>
      </c>
      <c r="AD175" s="11">
        <f>IF(AQ175="7",BH175,0)</f>
        <v>0</v>
      </c>
      <c r="AE175" s="11">
        <f>IF(AQ175="7",BI175,0)</f>
        <v>0</v>
      </c>
      <c r="AF175" s="11">
        <f>IF(AQ175="2",BH175,0)</f>
        <v>0</v>
      </c>
      <c r="AG175" s="11">
        <f>IF(AQ175="2",BI175,0)</f>
        <v>0</v>
      </c>
      <c r="AH175" s="11">
        <f>IF(AQ175="0",BJ175,0)</f>
        <v>0</v>
      </c>
      <c r="AI175" s="8"/>
      <c r="AJ175" s="6">
        <f>IF(AN175=0,J175,0)</f>
        <v>0</v>
      </c>
      <c r="AK175" s="6">
        <f>IF(AN175=15,J175,0)</f>
        <v>0</v>
      </c>
      <c r="AL175" s="6">
        <f>IF(AN175=21,J175,0)</f>
        <v>0</v>
      </c>
      <c r="AN175" s="11">
        <v>21</v>
      </c>
      <c r="AO175" s="11">
        <f>G175*0</f>
        <v>0</v>
      </c>
      <c r="AP175" s="11">
        <f>G175*(1-0)</f>
        <v>0</v>
      </c>
      <c r="AQ175" s="12" t="s">
        <v>11</v>
      </c>
      <c r="AV175" s="11">
        <f>AW175+AX175</f>
        <v>0</v>
      </c>
      <c r="AW175" s="11">
        <f>F175*AO175</f>
        <v>0</v>
      </c>
      <c r="AX175" s="11">
        <f>F175*AP175</f>
        <v>0</v>
      </c>
      <c r="AY175" s="14" t="s">
        <v>612</v>
      </c>
      <c r="AZ175" s="14" t="s">
        <v>626</v>
      </c>
      <c r="BA175" s="8" t="s">
        <v>629</v>
      </c>
      <c r="BC175" s="11">
        <f>AW175+AX175</f>
        <v>0</v>
      </c>
      <c r="BD175" s="11">
        <f>G175/(100-BE175)*100</f>
        <v>0</v>
      </c>
      <c r="BE175" s="11">
        <v>0</v>
      </c>
      <c r="BF175" s="11">
        <f>L175</f>
        <v>0</v>
      </c>
      <c r="BH175" s="6">
        <f>F175*AO175</f>
        <v>0</v>
      </c>
      <c r="BI175" s="6">
        <f>F175*AP175</f>
        <v>0</v>
      </c>
      <c r="BJ175" s="6">
        <f>F175*G175</f>
        <v>0</v>
      </c>
      <c r="BK175" s="6" t="s">
        <v>634</v>
      </c>
      <c r="BL175" s="11">
        <v>764</v>
      </c>
    </row>
    <row r="176" spans="1:47" ht="12.75">
      <c r="A176" s="137"/>
      <c r="B176" s="138" t="s">
        <v>203</v>
      </c>
      <c r="C176" s="244" t="s">
        <v>406</v>
      </c>
      <c r="D176" s="245"/>
      <c r="E176" s="139" t="s">
        <v>6</v>
      </c>
      <c r="F176" s="139" t="s">
        <v>6</v>
      </c>
      <c r="G176" s="139" t="s">
        <v>6</v>
      </c>
      <c r="H176" s="140">
        <f>SUM(H177:H215)</f>
        <v>0</v>
      </c>
      <c r="I176" s="140">
        <f>SUM(I177:I215)</f>
        <v>0</v>
      </c>
      <c r="J176" s="140">
        <f>SUM(J177:J215)</f>
        <v>0</v>
      </c>
      <c r="K176" s="141"/>
      <c r="L176" s="140">
        <f>SUM(L177:L215)</f>
        <v>2.16256</v>
      </c>
      <c r="M176" s="142"/>
      <c r="N176" s="1"/>
      <c r="AI176" s="8"/>
      <c r="AS176" s="16">
        <f>SUM(AJ177:AJ215)</f>
        <v>0</v>
      </c>
      <c r="AT176" s="16">
        <f>SUM(AK177:AK215)</f>
        <v>0</v>
      </c>
      <c r="AU176" s="16">
        <f>SUM(AL177:AL215)</f>
        <v>0</v>
      </c>
    </row>
    <row r="177" spans="1:64" ht="12.75">
      <c r="A177" s="126" t="s">
        <v>68</v>
      </c>
      <c r="B177" s="127" t="s">
        <v>204</v>
      </c>
      <c r="C177" s="242" t="s">
        <v>407</v>
      </c>
      <c r="D177" s="243"/>
      <c r="E177" s="127" t="s">
        <v>567</v>
      </c>
      <c r="F177" s="128">
        <v>127</v>
      </c>
      <c r="G177" s="174"/>
      <c r="H177" s="129">
        <f>F177*AO177</f>
        <v>0</v>
      </c>
      <c r="I177" s="129">
        <f>F177*AP177</f>
        <v>0</v>
      </c>
      <c r="J177" s="129">
        <f>F177*G177</f>
        <v>0</v>
      </c>
      <c r="K177" s="129">
        <v>0.009</v>
      </c>
      <c r="L177" s="129">
        <f>F177*K177</f>
        <v>1.143</v>
      </c>
      <c r="M177" s="130" t="s">
        <v>593</v>
      </c>
      <c r="N177" s="1"/>
      <c r="Z177" s="11">
        <f>IF(AQ177="5",BJ177,0)</f>
        <v>0</v>
      </c>
      <c r="AB177" s="11">
        <f>IF(AQ177="1",BH177,0)</f>
        <v>0</v>
      </c>
      <c r="AC177" s="11">
        <f>IF(AQ177="1",BI177,0)</f>
        <v>0</v>
      </c>
      <c r="AD177" s="11">
        <f>IF(AQ177="7",BH177,0)</f>
        <v>0</v>
      </c>
      <c r="AE177" s="11">
        <f>IF(AQ177="7",BI177,0)</f>
        <v>0</v>
      </c>
      <c r="AF177" s="11">
        <f>IF(AQ177="2",BH177,0)</f>
        <v>0</v>
      </c>
      <c r="AG177" s="11">
        <f>IF(AQ177="2",BI177,0)</f>
        <v>0</v>
      </c>
      <c r="AH177" s="11">
        <f>IF(AQ177="0",BJ177,0)</f>
        <v>0</v>
      </c>
      <c r="AI177" s="8"/>
      <c r="AJ177" s="6">
        <f>IF(AN177=0,J177,0)</f>
        <v>0</v>
      </c>
      <c r="AK177" s="6">
        <f>IF(AN177=15,J177,0)</f>
        <v>0</v>
      </c>
      <c r="AL177" s="6">
        <f>IF(AN177=21,J177,0)</f>
        <v>0</v>
      </c>
      <c r="AN177" s="11">
        <v>21</v>
      </c>
      <c r="AO177" s="11">
        <f>G177*0</f>
        <v>0</v>
      </c>
      <c r="AP177" s="11">
        <f>G177*(1-0)</f>
        <v>0</v>
      </c>
      <c r="AQ177" s="12" t="s">
        <v>13</v>
      </c>
      <c r="AV177" s="11">
        <f>AW177+AX177</f>
        <v>0</v>
      </c>
      <c r="AW177" s="11">
        <f>F177*AO177</f>
        <v>0</v>
      </c>
      <c r="AX177" s="11">
        <f>F177*AP177</f>
        <v>0</v>
      </c>
      <c r="AY177" s="14" t="s">
        <v>613</v>
      </c>
      <c r="AZ177" s="14" t="s">
        <v>626</v>
      </c>
      <c r="BA177" s="8" t="s">
        <v>629</v>
      </c>
      <c r="BC177" s="11">
        <f>AW177+AX177</f>
        <v>0</v>
      </c>
      <c r="BD177" s="11">
        <f>G177/(100-BE177)*100</f>
        <v>0</v>
      </c>
      <c r="BE177" s="11">
        <v>0</v>
      </c>
      <c r="BF177" s="11">
        <f>L177</f>
        <v>1.143</v>
      </c>
      <c r="BH177" s="6">
        <f>F177*AO177</f>
        <v>0</v>
      </c>
      <c r="BI177" s="6">
        <f>F177*AP177</f>
        <v>0</v>
      </c>
      <c r="BJ177" s="6">
        <f>F177*G177</f>
        <v>0</v>
      </c>
      <c r="BK177" s="6" t="s">
        <v>634</v>
      </c>
      <c r="BL177" s="11">
        <v>767</v>
      </c>
    </row>
    <row r="178" spans="1:14" ht="12.75">
      <c r="A178" s="131"/>
      <c r="B178" s="132"/>
      <c r="C178" s="133" t="s">
        <v>408</v>
      </c>
      <c r="D178" s="134"/>
      <c r="E178" s="132"/>
      <c r="F178" s="135">
        <v>127</v>
      </c>
      <c r="G178" s="173"/>
      <c r="H178" s="132"/>
      <c r="I178" s="132"/>
      <c r="J178" s="132"/>
      <c r="K178" s="132"/>
      <c r="L178" s="132"/>
      <c r="M178" s="136"/>
      <c r="N178" s="1"/>
    </row>
    <row r="179" spans="1:14" ht="12.75">
      <c r="A179" s="131"/>
      <c r="B179" s="150" t="s">
        <v>154</v>
      </c>
      <c r="C179" s="255" t="s">
        <v>409</v>
      </c>
      <c r="D179" s="256"/>
      <c r="E179" s="256"/>
      <c r="F179" s="256"/>
      <c r="G179" s="256"/>
      <c r="H179" s="256"/>
      <c r="I179" s="256"/>
      <c r="J179" s="256"/>
      <c r="K179" s="256"/>
      <c r="L179" s="256"/>
      <c r="M179" s="257"/>
      <c r="N179" s="1"/>
    </row>
    <row r="180" spans="1:64" ht="12.75">
      <c r="A180" s="126" t="s">
        <v>69</v>
      </c>
      <c r="B180" s="127" t="s">
        <v>205</v>
      </c>
      <c r="C180" s="242" t="s">
        <v>410</v>
      </c>
      <c r="D180" s="243"/>
      <c r="E180" s="127" t="s">
        <v>567</v>
      </c>
      <c r="F180" s="128">
        <v>29.6</v>
      </c>
      <c r="G180" s="174"/>
      <c r="H180" s="129">
        <f>F180*AO180</f>
        <v>0</v>
      </c>
      <c r="I180" s="129">
        <f>F180*AP180</f>
        <v>0</v>
      </c>
      <c r="J180" s="129">
        <f>F180*G180</f>
        <v>0</v>
      </c>
      <c r="K180" s="129">
        <v>0</v>
      </c>
      <c r="L180" s="129">
        <f>F180*K180</f>
        <v>0</v>
      </c>
      <c r="M180" s="130" t="s">
        <v>594</v>
      </c>
      <c r="N180" s="1"/>
      <c r="Z180" s="11">
        <f>IF(AQ180="5",BJ180,0)</f>
        <v>0</v>
      </c>
      <c r="AB180" s="11">
        <f>IF(AQ180="1",BH180,0)</f>
        <v>0</v>
      </c>
      <c r="AC180" s="11">
        <f>IF(AQ180="1",BI180,0)</f>
        <v>0</v>
      </c>
      <c r="AD180" s="11">
        <f>IF(AQ180="7",BH180,0)</f>
        <v>0</v>
      </c>
      <c r="AE180" s="11">
        <f>IF(AQ180="7",BI180,0)</f>
        <v>0</v>
      </c>
      <c r="AF180" s="11">
        <f>IF(AQ180="2",BH180,0)</f>
        <v>0</v>
      </c>
      <c r="AG180" s="11">
        <f>IF(AQ180="2",BI180,0)</f>
        <v>0</v>
      </c>
      <c r="AH180" s="11">
        <f>IF(AQ180="0",BJ180,0)</f>
        <v>0</v>
      </c>
      <c r="AI180" s="8"/>
      <c r="AJ180" s="6">
        <f>IF(AN180=0,J180,0)</f>
        <v>0</v>
      </c>
      <c r="AK180" s="6">
        <f>IF(AN180=15,J180,0)</f>
        <v>0</v>
      </c>
      <c r="AL180" s="6">
        <f>IF(AN180=21,J180,0)</f>
        <v>0</v>
      </c>
      <c r="AN180" s="11">
        <v>21</v>
      </c>
      <c r="AO180" s="11">
        <f>G180*0.0512519809825674</f>
        <v>0</v>
      </c>
      <c r="AP180" s="11">
        <f>G180*(1-0.0512519809825674)</f>
        <v>0</v>
      </c>
      <c r="AQ180" s="12" t="s">
        <v>13</v>
      </c>
      <c r="AV180" s="11">
        <f>AW180+AX180</f>
        <v>0</v>
      </c>
      <c r="AW180" s="11">
        <f>F180*AO180</f>
        <v>0</v>
      </c>
      <c r="AX180" s="11">
        <f>F180*AP180</f>
        <v>0</v>
      </c>
      <c r="AY180" s="14" t="s">
        <v>613</v>
      </c>
      <c r="AZ180" s="14" t="s">
        <v>626</v>
      </c>
      <c r="BA180" s="8" t="s">
        <v>629</v>
      </c>
      <c r="BC180" s="11">
        <f>AW180+AX180</f>
        <v>0</v>
      </c>
      <c r="BD180" s="11">
        <f>G180/(100-BE180)*100</f>
        <v>0</v>
      </c>
      <c r="BE180" s="11">
        <v>0</v>
      </c>
      <c r="BF180" s="11">
        <f>L180</f>
        <v>0</v>
      </c>
      <c r="BH180" s="6">
        <f>F180*AO180</f>
        <v>0</v>
      </c>
      <c r="BI180" s="6">
        <f>F180*AP180</f>
        <v>0</v>
      </c>
      <c r="BJ180" s="6">
        <f>F180*G180</f>
        <v>0</v>
      </c>
      <c r="BK180" s="6" t="s">
        <v>634</v>
      </c>
      <c r="BL180" s="11">
        <v>767</v>
      </c>
    </row>
    <row r="181" spans="1:14" ht="12.75">
      <c r="A181" s="131"/>
      <c r="B181" s="132"/>
      <c r="C181" s="133" t="s">
        <v>411</v>
      </c>
      <c r="D181" s="134"/>
      <c r="E181" s="132"/>
      <c r="F181" s="135">
        <v>29.6</v>
      </c>
      <c r="G181" s="173"/>
      <c r="H181" s="132"/>
      <c r="I181" s="132"/>
      <c r="J181" s="132"/>
      <c r="K181" s="132"/>
      <c r="L181" s="132"/>
      <c r="M181" s="136"/>
      <c r="N181" s="1"/>
    </row>
    <row r="182" spans="1:64" ht="12.75">
      <c r="A182" s="145" t="s">
        <v>70</v>
      </c>
      <c r="B182" s="146" t="s">
        <v>206</v>
      </c>
      <c r="C182" s="253" t="s">
        <v>412</v>
      </c>
      <c r="D182" s="254"/>
      <c r="E182" s="146" t="s">
        <v>567</v>
      </c>
      <c r="F182" s="147">
        <v>29.6</v>
      </c>
      <c r="G182" s="172"/>
      <c r="H182" s="148">
        <f>F182*AO182</f>
        <v>0</v>
      </c>
      <c r="I182" s="148">
        <f>F182*AP182</f>
        <v>0</v>
      </c>
      <c r="J182" s="148">
        <f>F182*G182</f>
        <v>0</v>
      </c>
      <c r="K182" s="148">
        <v>0.0113</v>
      </c>
      <c r="L182" s="148">
        <f>F182*K182</f>
        <v>0.33448</v>
      </c>
      <c r="M182" s="149" t="s">
        <v>594</v>
      </c>
      <c r="N182" s="1"/>
      <c r="Z182" s="11">
        <f>IF(AQ182="5",BJ182,0)</f>
        <v>0</v>
      </c>
      <c r="AB182" s="11">
        <f>IF(AQ182="1",BH182,0)</f>
        <v>0</v>
      </c>
      <c r="AC182" s="11">
        <f>IF(AQ182="1",BI182,0)</f>
        <v>0</v>
      </c>
      <c r="AD182" s="11">
        <f>IF(AQ182="7",BH182,0)</f>
        <v>0</v>
      </c>
      <c r="AE182" s="11">
        <f>IF(AQ182="7",BI182,0)</f>
        <v>0</v>
      </c>
      <c r="AF182" s="11">
        <f>IF(AQ182="2",BH182,0)</f>
        <v>0</v>
      </c>
      <c r="AG182" s="11">
        <f>IF(AQ182="2",BI182,0)</f>
        <v>0</v>
      </c>
      <c r="AH182" s="11">
        <f>IF(AQ182="0",BJ182,0)</f>
        <v>0</v>
      </c>
      <c r="AI182" s="8"/>
      <c r="AJ182" s="7">
        <f>IF(AN182=0,J182,0)</f>
        <v>0</v>
      </c>
      <c r="AK182" s="7">
        <f>IF(AN182=15,J182,0)</f>
        <v>0</v>
      </c>
      <c r="AL182" s="7">
        <f>IF(AN182=21,J182,0)</f>
        <v>0</v>
      </c>
      <c r="AN182" s="11">
        <v>21</v>
      </c>
      <c r="AO182" s="11">
        <f>G182*1</f>
        <v>0</v>
      </c>
      <c r="AP182" s="11">
        <f>G182*(1-1)</f>
        <v>0</v>
      </c>
      <c r="AQ182" s="13" t="s">
        <v>13</v>
      </c>
      <c r="AV182" s="11">
        <f>AW182+AX182</f>
        <v>0</v>
      </c>
      <c r="AW182" s="11">
        <f>F182*AO182</f>
        <v>0</v>
      </c>
      <c r="AX182" s="11">
        <f>F182*AP182</f>
        <v>0</v>
      </c>
      <c r="AY182" s="14" t="s">
        <v>613</v>
      </c>
      <c r="AZ182" s="14" t="s">
        <v>626</v>
      </c>
      <c r="BA182" s="8" t="s">
        <v>629</v>
      </c>
      <c r="BC182" s="11">
        <f>AW182+AX182</f>
        <v>0</v>
      </c>
      <c r="BD182" s="11">
        <f>G182/(100-BE182)*100</f>
        <v>0</v>
      </c>
      <c r="BE182" s="11">
        <v>0</v>
      </c>
      <c r="BF182" s="11">
        <f>L182</f>
        <v>0.33448</v>
      </c>
      <c r="BH182" s="7">
        <f>F182*AO182</f>
        <v>0</v>
      </c>
      <c r="BI182" s="7">
        <f>F182*AP182</f>
        <v>0</v>
      </c>
      <c r="BJ182" s="7">
        <f>F182*G182</f>
        <v>0</v>
      </c>
      <c r="BK182" s="7" t="s">
        <v>635</v>
      </c>
      <c r="BL182" s="11">
        <v>767</v>
      </c>
    </row>
    <row r="183" spans="1:14" ht="12.75">
      <c r="A183" s="131"/>
      <c r="B183" s="132"/>
      <c r="C183" s="133" t="s">
        <v>411</v>
      </c>
      <c r="D183" s="134"/>
      <c r="E183" s="132"/>
      <c r="F183" s="135">
        <v>29.6</v>
      </c>
      <c r="G183" s="173"/>
      <c r="H183" s="132"/>
      <c r="I183" s="132"/>
      <c r="J183" s="132"/>
      <c r="K183" s="132"/>
      <c r="L183" s="132"/>
      <c r="M183" s="136"/>
      <c r="N183" s="1"/>
    </row>
    <row r="184" spans="1:14" ht="12.75">
      <c r="A184" s="131"/>
      <c r="B184" s="150" t="s">
        <v>154</v>
      </c>
      <c r="C184" s="255" t="s">
        <v>413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7"/>
      <c r="N184" s="1"/>
    </row>
    <row r="185" spans="1:64" ht="12.75">
      <c r="A185" s="126" t="s">
        <v>71</v>
      </c>
      <c r="B185" s="127" t="s">
        <v>207</v>
      </c>
      <c r="C185" s="242" t="s">
        <v>414</v>
      </c>
      <c r="D185" s="243"/>
      <c r="E185" s="127" t="s">
        <v>567</v>
      </c>
      <c r="F185" s="128">
        <v>9.52</v>
      </c>
      <c r="G185" s="174"/>
      <c r="H185" s="129">
        <f>F185*AO185</f>
        <v>0</v>
      </c>
      <c r="I185" s="129">
        <f>F185*AP185</f>
        <v>0</v>
      </c>
      <c r="J185" s="129">
        <f>F185*G185</f>
        <v>0</v>
      </c>
      <c r="K185" s="129">
        <v>0</v>
      </c>
      <c r="L185" s="129">
        <f>F185*K185</f>
        <v>0</v>
      </c>
      <c r="M185" s="130" t="s">
        <v>593</v>
      </c>
      <c r="N185" s="1"/>
      <c r="Z185" s="11">
        <f>IF(AQ185="5",BJ185,0)</f>
        <v>0</v>
      </c>
      <c r="AB185" s="11">
        <f>IF(AQ185="1",BH185,0)</f>
        <v>0</v>
      </c>
      <c r="AC185" s="11">
        <f>IF(AQ185="1",BI185,0)</f>
        <v>0</v>
      </c>
      <c r="AD185" s="11">
        <f>IF(AQ185="7",BH185,0)</f>
        <v>0</v>
      </c>
      <c r="AE185" s="11">
        <f>IF(AQ185="7",BI185,0)</f>
        <v>0</v>
      </c>
      <c r="AF185" s="11">
        <f>IF(AQ185="2",BH185,0)</f>
        <v>0</v>
      </c>
      <c r="AG185" s="11">
        <f>IF(AQ185="2",BI185,0)</f>
        <v>0</v>
      </c>
      <c r="AH185" s="11">
        <f>IF(AQ185="0",BJ185,0)</f>
        <v>0</v>
      </c>
      <c r="AI185" s="8"/>
      <c r="AJ185" s="6">
        <f>IF(AN185=0,J185,0)</f>
        <v>0</v>
      </c>
      <c r="AK185" s="6">
        <f>IF(AN185=15,J185,0)</f>
        <v>0</v>
      </c>
      <c r="AL185" s="6">
        <f>IF(AN185=21,J185,0)</f>
        <v>0</v>
      </c>
      <c r="AN185" s="11">
        <v>21</v>
      </c>
      <c r="AO185" s="11">
        <f>G185*0</f>
        <v>0</v>
      </c>
      <c r="AP185" s="11">
        <f>G185*(1-0)</f>
        <v>0</v>
      </c>
      <c r="AQ185" s="12" t="s">
        <v>13</v>
      </c>
      <c r="AV185" s="11">
        <f>AW185+AX185</f>
        <v>0</v>
      </c>
      <c r="AW185" s="11">
        <f>F185*AO185</f>
        <v>0</v>
      </c>
      <c r="AX185" s="11">
        <f>F185*AP185</f>
        <v>0</v>
      </c>
      <c r="AY185" s="14" t="s">
        <v>613</v>
      </c>
      <c r="AZ185" s="14" t="s">
        <v>626</v>
      </c>
      <c r="BA185" s="8" t="s">
        <v>629</v>
      </c>
      <c r="BC185" s="11">
        <f>AW185+AX185</f>
        <v>0</v>
      </c>
      <c r="BD185" s="11">
        <f>G185/(100-BE185)*100</f>
        <v>0</v>
      </c>
      <c r="BE185" s="11">
        <v>0</v>
      </c>
      <c r="BF185" s="11">
        <f>L185</f>
        <v>0</v>
      </c>
      <c r="BH185" s="6">
        <f>F185*AO185</f>
        <v>0</v>
      </c>
      <c r="BI185" s="6">
        <f>F185*AP185</f>
        <v>0</v>
      </c>
      <c r="BJ185" s="6">
        <f>F185*G185</f>
        <v>0</v>
      </c>
      <c r="BK185" s="6" t="s">
        <v>634</v>
      </c>
      <c r="BL185" s="11">
        <v>767</v>
      </c>
    </row>
    <row r="186" spans="1:14" ht="12.75">
      <c r="A186" s="131"/>
      <c r="B186" s="132"/>
      <c r="C186" s="133" t="s">
        <v>415</v>
      </c>
      <c r="D186" s="134"/>
      <c r="E186" s="132"/>
      <c r="F186" s="135">
        <v>9.52</v>
      </c>
      <c r="G186" s="173"/>
      <c r="H186" s="132"/>
      <c r="I186" s="132"/>
      <c r="J186" s="132"/>
      <c r="K186" s="132"/>
      <c r="L186" s="132"/>
      <c r="M186" s="136"/>
      <c r="N186" s="1"/>
    </row>
    <row r="187" spans="1:64" ht="12.75">
      <c r="A187" s="145" t="s">
        <v>72</v>
      </c>
      <c r="B187" s="146" t="s">
        <v>208</v>
      </c>
      <c r="C187" s="253" t="s">
        <v>416</v>
      </c>
      <c r="D187" s="254"/>
      <c r="E187" s="146" t="s">
        <v>567</v>
      </c>
      <c r="F187" s="147">
        <v>8.8</v>
      </c>
      <c r="G187" s="172"/>
      <c r="H187" s="148">
        <f>F187*AO187</f>
        <v>0</v>
      </c>
      <c r="I187" s="148">
        <f>F187*AP187</f>
        <v>0</v>
      </c>
      <c r="J187" s="148">
        <f>F187*G187</f>
        <v>0</v>
      </c>
      <c r="K187" s="148">
        <v>0.00124</v>
      </c>
      <c r="L187" s="148">
        <f>F187*K187</f>
        <v>0.010912000000000002</v>
      </c>
      <c r="M187" s="149" t="s">
        <v>593</v>
      </c>
      <c r="N187" s="1"/>
      <c r="Z187" s="11">
        <f>IF(AQ187="5",BJ187,0)</f>
        <v>0</v>
      </c>
      <c r="AB187" s="11">
        <f>IF(AQ187="1",BH187,0)</f>
        <v>0</v>
      </c>
      <c r="AC187" s="11">
        <f>IF(AQ187="1",BI187,0)</f>
        <v>0</v>
      </c>
      <c r="AD187" s="11">
        <f>IF(AQ187="7",BH187,0)</f>
        <v>0</v>
      </c>
      <c r="AE187" s="11">
        <f>IF(AQ187="7",BI187,0)</f>
        <v>0</v>
      </c>
      <c r="AF187" s="11">
        <f>IF(AQ187="2",BH187,0)</f>
        <v>0</v>
      </c>
      <c r="AG187" s="11">
        <f>IF(AQ187="2",BI187,0)</f>
        <v>0</v>
      </c>
      <c r="AH187" s="11">
        <f>IF(AQ187="0",BJ187,0)</f>
        <v>0</v>
      </c>
      <c r="AI187" s="8"/>
      <c r="AJ187" s="7">
        <f>IF(AN187=0,J187,0)</f>
        <v>0</v>
      </c>
      <c r="AK187" s="7">
        <f>IF(AN187=15,J187,0)</f>
        <v>0</v>
      </c>
      <c r="AL187" s="7">
        <f>IF(AN187=21,J187,0)</f>
        <v>0</v>
      </c>
      <c r="AN187" s="11">
        <v>21</v>
      </c>
      <c r="AO187" s="11">
        <f>G187*1</f>
        <v>0</v>
      </c>
      <c r="AP187" s="11">
        <f>G187*(1-1)</f>
        <v>0</v>
      </c>
      <c r="AQ187" s="13" t="s">
        <v>13</v>
      </c>
      <c r="AV187" s="11">
        <f>AW187+AX187</f>
        <v>0</v>
      </c>
      <c r="AW187" s="11">
        <f>F187*AO187</f>
        <v>0</v>
      </c>
      <c r="AX187" s="11">
        <f>F187*AP187</f>
        <v>0</v>
      </c>
      <c r="AY187" s="14" t="s">
        <v>613</v>
      </c>
      <c r="AZ187" s="14" t="s">
        <v>626</v>
      </c>
      <c r="BA187" s="8" t="s">
        <v>629</v>
      </c>
      <c r="BC187" s="11">
        <f>AW187+AX187</f>
        <v>0</v>
      </c>
      <c r="BD187" s="11">
        <f>G187/(100-BE187)*100</f>
        <v>0</v>
      </c>
      <c r="BE187" s="11">
        <v>0</v>
      </c>
      <c r="BF187" s="11">
        <f>L187</f>
        <v>0.010912000000000002</v>
      </c>
      <c r="BH187" s="7">
        <f>F187*AO187</f>
        <v>0</v>
      </c>
      <c r="BI187" s="7">
        <f>F187*AP187</f>
        <v>0</v>
      </c>
      <c r="BJ187" s="7">
        <f>F187*G187</f>
        <v>0</v>
      </c>
      <c r="BK187" s="7" t="s">
        <v>635</v>
      </c>
      <c r="BL187" s="11">
        <v>767</v>
      </c>
    </row>
    <row r="188" spans="1:14" ht="12.75">
      <c r="A188" s="131"/>
      <c r="B188" s="132"/>
      <c r="C188" s="133" t="s">
        <v>417</v>
      </c>
      <c r="D188" s="134"/>
      <c r="E188" s="132"/>
      <c r="F188" s="135">
        <v>8.8</v>
      </c>
      <c r="G188" s="173"/>
      <c r="H188" s="132"/>
      <c r="I188" s="132"/>
      <c r="J188" s="132"/>
      <c r="K188" s="132"/>
      <c r="L188" s="132"/>
      <c r="M188" s="136"/>
      <c r="N188" s="1"/>
    </row>
    <row r="189" spans="1:14" ht="12.75">
      <c r="A189" s="131"/>
      <c r="B189" s="150" t="s">
        <v>154</v>
      </c>
      <c r="C189" s="255" t="s">
        <v>418</v>
      </c>
      <c r="D189" s="256"/>
      <c r="E189" s="256"/>
      <c r="F189" s="256"/>
      <c r="G189" s="256"/>
      <c r="H189" s="256"/>
      <c r="I189" s="256"/>
      <c r="J189" s="256"/>
      <c r="K189" s="256"/>
      <c r="L189" s="256"/>
      <c r="M189" s="257"/>
      <c r="N189" s="1"/>
    </row>
    <row r="190" spans="1:64" ht="12.75">
      <c r="A190" s="126" t="s">
        <v>73</v>
      </c>
      <c r="B190" s="127" t="s">
        <v>209</v>
      </c>
      <c r="C190" s="242" t="s">
        <v>419</v>
      </c>
      <c r="D190" s="243"/>
      <c r="E190" s="127" t="s">
        <v>569</v>
      </c>
      <c r="F190" s="128">
        <v>300</v>
      </c>
      <c r="G190" s="174"/>
      <c r="H190" s="129">
        <f>F190*AO190</f>
        <v>0</v>
      </c>
      <c r="I190" s="129">
        <f>F190*AP190</f>
        <v>0</v>
      </c>
      <c r="J190" s="129">
        <f>F190*G190</f>
        <v>0</v>
      </c>
      <c r="K190" s="129">
        <v>0.001</v>
      </c>
      <c r="L190" s="129">
        <f>F190*K190</f>
        <v>0.3</v>
      </c>
      <c r="M190" s="130" t="s">
        <v>593</v>
      </c>
      <c r="N190" s="1"/>
      <c r="Z190" s="11">
        <f>IF(AQ190="5",BJ190,0)</f>
        <v>0</v>
      </c>
      <c r="AB190" s="11">
        <f>IF(AQ190="1",BH190,0)</f>
        <v>0</v>
      </c>
      <c r="AC190" s="11">
        <f>IF(AQ190="1",BI190,0)</f>
        <v>0</v>
      </c>
      <c r="AD190" s="11">
        <f>IF(AQ190="7",BH190,0)</f>
        <v>0</v>
      </c>
      <c r="AE190" s="11">
        <f>IF(AQ190="7",BI190,0)</f>
        <v>0</v>
      </c>
      <c r="AF190" s="11">
        <f>IF(AQ190="2",BH190,0)</f>
        <v>0</v>
      </c>
      <c r="AG190" s="11">
        <f>IF(AQ190="2",BI190,0)</f>
        <v>0</v>
      </c>
      <c r="AH190" s="11">
        <f>IF(AQ190="0",BJ190,0)</f>
        <v>0</v>
      </c>
      <c r="AI190" s="8"/>
      <c r="AJ190" s="6">
        <f>IF(AN190=0,J190,0)</f>
        <v>0</v>
      </c>
      <c r="AK190" s="6">
        <f>IF(AN190=15,J190,0)</f>
        <v>0</v>
      </c>
      <c r="AL190" s="6">
        <f>IF(AN190=21,J190,0)</f>
        <v>0</v>
      </c>
      <c r="AN190" s="11">
        <v>21</v>
      </c>
      <c r="AO190" s="11">
        <f>G190*0.167545998669918</f>
        <v>0</v>
      </c>
      <c r="AP190" s="11">
        <f>G190*(1-0.167545998669918)</f>
        <v>0</v>
      </c>
      <c r="AQ190" s="12" t="s">
        <v>13</v>
      </c>
      <c r="AV190" s="11">
        <f>AW190+AX190</f>
        <v>0</v>
      </c>
      <c r="AW190" s="11">
        <f>F190*AO190</f>
        <v>0</v>
      </c>
      <c r="AX190" s="11">
        <f>F190*AP190</f>
        <v>0</v>
      </c>
      <c r="AY190" s="14" t="s">
        <v>613</v>
      </c>
      <c r="AZ190" s="14" t="s">
        <v>626</v>
      </c>
      <c r="BA190" s="8" t="s">
        <v>629</v>
      </c>
      <c r="BC190" s="11">
        <f>AW190+AX190</f>
        <v>0</v>
      </c>
      <c r="BD190" s="11">
        <f>G190/(100-BE190)*100</f>
        <v>0</v>
      </c>
      <c r="BE190" s="11">
        <v>0</v>
      </c>
      <c r="BF190" s="11">
        <f>L190</f>
        <v>0.3</v>
      </c>
      <c r="BH190" s="6">
        <f>F190*AO190</f>
        <v>0</v>
      </c>
      <c r="BI190" s="6">
        <f>F190*AP190</f>
        <v>0</v>
      </c>
      <c r="BJ190" s="6">
        <f>F190*G190</f>
        <v>0</v>
      </c>
      <c r="BK190" s="6" t="s">
        <v>634</v>
      </c>
      <c r="BL190" s="11">
        <v>767</v>
      </c>
    </row>
    <row r="191" spans="1:14" ht="12.75">
      <c r="A191" s="131"/>
      <c r="B191" s="132"/>
      <c r="C191" s="133" t="s">
        <v>420</v>
      </c>
      <c r="D191" s="134" t="s">
        <v>550</v>
      </c>
      <c r="E191" s="132"/>
      <c r="F191" s="135">
        <v>300</v>
      </c>
      <c r="G191" s="173"/>
      <c r="H191" s="132"/>
      <c r="I191" s="132"/>
      <c r="J191" s="132"/>
      <c r="K191" s="132"/>
      <c r="L191" s="132"/>
      <c r="M191" s="136"/>
      <c r="N191" s="1"/>
    </row>
    <row r="192" spans="1:14" ht="12.75">
      <c r="A192" s="131"/>
      <c r="B192" s="150" t="s">
        <v>154</v>
      </c>
      <c r="C192" s="255" t="s">
        <v>421</v>
      </c>
      <c r="D192" s="256"/>
      <c r="E192" s="256"/>
      <c r="F192" s="256"/>
      <c r="G192" s="256"/>
      <c r="H192" s="256"/>
      <c r="I192" s="256"/>
      <c r="J192" s="256"/>
      <c r="K192" s="256"/>
      <c r="L192" s="256"/>
      <c r="M192" s="257"/>
      <c r="N192" s="1"/>
    </row>
    <row r="193" spans="1:64" ht="12.75">
      <c r="A193" s="126" t="s">
        <v>74</v>
      </c>
      <c r="B193" s="127" t="s">
        <v>210</v>
      </c>
      <c r="C193" s="242" t="s">
        <v>422</v>
      </c>
      <c r="D193" s="243"/>
      <c r="E193" s="127" t="s">
        <v>570</v>
      </c>
      <c r="F193" s="128">
        <v>1</v>
      </c>
      <c r="G193" s="174"/>
      <c r="H193" s="129">
        <f>F193*AO193</f>
        <v>0</v>
      </c>
      <c r="I193" s="129">
        <f>F193*AP193</f>
        <v>0</v>
      </c>
      <c r="J193" s="129">
        <f>F193*G193</f>
        <v>0</v>
      </c>
      <c r="K193" s="129">
        <v>0.0495</v>
      </c>
      <c r="L193" s="129">
        <f>F193*K193</f>
        <v>0.0495</v>
      </c>
      <c r="M193" s="130" t="s">
        <v>593</v>
      </c>
      <c r="N193" s="1"/>
      <c r="Z193" s="11">
        <f>IF(AQ193="5",BJ193,0)</f>
        <v>0</v>
      </c>
      <c r="AB193" s="11">
        <f>IF(AQ193="1",BH193,0)</f>
        <v>0</v>
      </c>
      <c r="AC193" s="11">
        <f>IF(AQ193="1",BI193,0)</f>
        <v>0</v>
      </c>
      <c r="AD193" s="11">
        <f>IF(AQ193="7",BH193,0)</f>
        <v>0</v>
      </c>
      <c r="AE193" s="11">
        <f>IF(AQ193="7",BI193,0)</f>
        <v>0</v>
      </c>
      <c r="AF193" s="11">
        <f>IF(AQ193="2",BH193,0)</f>
        <v>0</v>
      </c>
      <c r="AG193" s="11">
        <f>IF(AQ193="2",BI193,0)</f>
        <v>0</v>
      </c>
      <c r="AH193" s="11">
        <f>IF(AQ193="0",BJ193,0)</f>
        <v>0</v>
      </c>
      <c r="AI193" s="8"/>
      <c r="AJ193" s="6">
        <f>IF(AN193=0,J193,0)</f>
        <v>0</v>
      </c>
      <c r="AK193" s="6">
        <f>IF(AN193=15,J193,0)</f>
        <v>0</v>
      </c>
      <c r="AL193" s="6">
        <f>IF(AN193=21,J193,0)</f>
        <v>0</v>
      </c>
      <c r="AN193" s="11">
        <v>21</v>
      </c>
      <c r="AO193" s="11">
        <f>G193*0.196073008849558</f>
        <v>0</v>
      </c>
      <c r="AP193" s="11">
        <f>G193*(1-0.196073008849558)</f>
        <v>0</v>
      </c>
      <c r="AQ193" s="12" t="s">
        <v>13</v>
      </c>
      <c r="AV193" s="11">
        <f>AW193+AX193</f>
        <v>0</v>
      </c>
      <c r="AW193" s="11">
        <f>F193*AO193</f>
        <v>0</v>
      </c>
      <c r="AX193" s="11">
        <f>F193*AP193</f>
        <v>0</v>
      </c>
      <c r="AY193" s="14" t="s">
        <v>613</v>
      </c>
      <c r="AZ193" s="14" t="s">
        <v>626</v>
      </c>
      <c r="BA193" s="8" t="s">
        <v>629</v>
      </c>
      <c r="BC193" s="11">
        <f>AW193+AX193</f>
        <v>0</v>
      </c>
      <c r="BD193" s="11">
        <f>G193/(100-BE193)*100</f>
        <v>0</v>
      </c>
      <c r="BE193" s="11">
        <v>0</v>
      </c>
      <c r="BF193" s="11">
        <f>L193</f>
        <v>0.0495</v>
      </c>
      <c r="BH193" s="6">
        <f>F193*AO193</f>
        <v>0</v>
      </c>
      <c r="BI193" s="6">
        <f>F193*AP193</f>
        <v>0</v>
      </c>
      <c r="BJ193" s="6">
        <f>F193*G193</f>
        <v>0</v>
      </c>
      <c r="BK193" s="6" t="s">
        <v>634</v>
      </c>
      <c r="BL193" s="11">
        <v>767</v>
      </c>
    </row>
    <row r="194" spans="1:14" ht="12.75">
      <c r="A194" s="131"/>
      <c r="B194" s="143" t="s">
        <v>137</v>
      </c>
      <c r="C194" s="250" t="s">
        <v>423</v>
      </c>
      <c r="D194" s="251"/>
      <c r="E194" s="251"/>
      <c r="F194" s="251"/>
      <c r="G194" s="251"/>
      <c r="H194" s="251"/>
      <c r="I194" s="251"/>
      <c r="J194" s="251"/>
      <c r="K194" s="251"/>
      <c r="L194" s="251"/>
      <c r="M194" s="252"/>
      <c r="N194" s="1"/>
    </row>
    <row r="195" spans="1:14" ht="12.75">
      <c r="A195" s="131"/>
      <c r="B195" s="132"/>
      <c r="C195" s="133" t="s">
        <v>7</v>
      </c>
      <c r="D195" s="134" t="s">
        <v>551</v>
      </c>
      <c r="E195" s="132"/>
      <c r="F195" s="135">
        <v>1</v>
      </c>
      <c r="G195" s="173"/>
      <c r="H195" s="132"/>
      <c r="I195" s="132"/>
      <c r="J195" s="132"/>
      <c r="K195" s="132"/>
      <c r="L195" s="132"/>
      <c r="M195" s="136"/>
      <c r="N195" s="1"/>
    </row>
    <row r="196" spans="1:14" ht="12.75">
      <c r="A196" s="131"/>
      <c r="B196" s="150" t="s">
        <v>154</v>
      </c>
      <c r="C196" s="255" t="s">
        <v>424</v>
      </c>
      <c r="D196" s="256"/>
      <c r="E196" s="256"/>
      <c r="F196" s="256"/>
      <c r="G196" s="256"/>
      <c r="H196" s="256"/>
      <c r="I196" s="256"/>
      <c r="J196" s="256"/>
      <c r="K196" s="256"/>
      <c r="L196" s="256"/>
      <c r="M196" s="257"/>
      <c r="N196" s="1"/>
    </row>
    <row r="197" spans="1:64" ht="12.75">
      <c r="A197" s="126" t="s">
        <v>75</v>
      </c>
      <c r="B197" s="127" t="s">
        <v>211</v>
      </c>
      <c r="C197" s="242" t="s">
        <v>425</v>
      </c>
      <c r="D197" s="243"/>
      <c r="E197" s="127" t="s">
        <v>570</v>
      </c>
      <c r="F197" s="128">
        <v>8</v>
      </c>
      <c r="G197" s="174"/>
      <c r="H197" s="129">
        <f>F197*AO197</f>
        <v>0</v>
      </c>
      <c r="I197" s="129">
        <f>F197*AP197</f>
        <v>0</v>
      </c>
      <c r="J197" s="129">
        <f>F197*G197</f>
        <v>0</v>
      </c>
      <c r="K197" s="129">
        <v>0.009</v>
      </c>
      <c r="L197" s="129">
        <f>F197*K197</f>
        <v>0.072</v>
      </c>
      <c r="M197" s="130" t="s">
        <v>593</v>
      </c>
      <c r="N197" s="1"/>
      <c r="Z197" s="11">
        <f>IF(AQ197="5",BJ197,0)</f>
        <v>0</v>
      </c>
      <c r="AB197" s="11">
        <f>IF(AQ197="1",BH197,0)</f>
        <v>0</v>
      </c>
      <c r="AC197" s="11">
        <f>IF(AQ197="1",BI197,0)</f>
        <v>0</v>
      </c>
      <c r="AD197" s="11">
        <f>IF(AQ197="7",BH197,0)</f>
        <v>0</v>
      </c>
      <c r="AE197" s="11">
        <f>IF(AQ197="7",BI197,0)</f>
        <v>0</v>
      </c>
      <c r="AF197" s="11">
        <f>IF(AQ197="2",BH197,0)</f>
        <v>0</v>
      </c>
      <c r="AG197" s="11">
        <f>IF(AQ197="2",BI197,0)</f>
        <v>0</v>
      </c>
      <c r="AH197" s="11">
        <f>IF(AQ197="0",BJ197,0)</f>
        <v>0</v>
      </c>
      <c r="AI197" s="8"/>
      <c r="AJ197" s="6">
        <f>IF(AN197=0,J197,0)</f>
        <v>0</v>
      </c>
      <c r="AK197" s="6">
        <f>IF(AN197=15,J197,0)</f>
        <v>0</v>
      </c>
      <c r="AL197" s="6">
        <f>IF(AN197=21,J197,0)</f>
        <v>0</v>
      </c>
      <c r="AN197" s="11">
        <v>21</v>
      </c>
      <c r="AO197" s="11">
        <f>G197*0.171863867202304</f>
        <v>0</v>
      </c>
      <c r="AP197" s="11">
        <f>G197*(1-0.171863867202304)</f>
        <v>0</v>
      </c>
      <c r="AQ197" s="12" t="s">
        <v>13</v>
      </c>
      <c r="AV197" s="11">
        <f>AW197+AX197</f>
        <v>0</v>
      </c>
      <c r="AW197" s="11">
        <f>F197*AO197</f>
        <v>0</v>
      </c>
      <c r="AX197" s="11">
        <f>F197*AP197</f>
        <v>0</v>
      </c>
      <c r="AY197" s="14" t="s">
        <v>613</v>
      </c>
      <c r="AZ197" s="14" t="s">
        <v>626</v>
      </c>
      <c r="BA197" s="8" t="s">
        <v>629</v>
      </c>
      <c r="BC197" s="11">
        <f>AW197+AX197</f>
        <v>0</v>
      </c>
      <c r="BD197" s="11">
        <f>G197/(100-BE197)*100</f>
        <v>0</v>
      </c>
      <c r="BE197" s="11">
        <v>0</v>
      </c>
      <c r="BF197" s="11">
        <f>L197</f>
        <v>0.072</v>
      </c>
      <c r="BH197" s="6">
        <f>F197*AO197</f>
        <v>0</v>
      </c>
      <c r="BI197" s="6">
        <f>F197*AP197</f>
        <v>0</v>
      </c>
      <c r="BJ197" s="6">
        <f>F197*G197</f>
        <v>0</v>
      </c>
      <c r="BK197" s="6" t="s">
        <v>634</v>
      </c>
      <c r="BL197" s="11">
        <v>767</v>
      </c>
    </row>
    <row r="198" spans="1:14" ht="12.75">
      <c r="A198" s="131"/>
      <c r="B198" s="143" t="s">
        <v>137</v>
      </c>
      <c r="C198" s="250" t="s">
        <v>426</v>
      </c>
      <c r="D198" s="251"/>
      <c r="E198" s="251"/>
      <c r="F198" s="251"/>
      <c r="G198" s="251"/>
      <c r="H198" s="251"/>
      <c r="I198" s="251"/>
      <c r="J198" s="251"/>
      <c r="K198" s="251"/>
      <c r="L198" s="251"/>
      <c r="M198" s="252"/>
      <c r="N198" s="1"/>
    </row>
    <row r="199" spans="1:14" ht="12.75">
      <c r="A199" s="131"/>
      <c r="B199" s="132"/>
      <c r="C199" s="133" t="s">
        <v>14</v>
      </c>
      <c r="D199" s="134"/>
      <c r="E199" s="132"/>
      <c r="F199" s="135">
        <v>8</v>
      </c>
      <c r="G199" s="173"/>
      <c r="H199" s="132"/>
      <c r="I199" s="132"/>
      <c r="J199" s="132"/>
      <c r="K199" s="132"/>
      <c r="L199" s="132"/>
      <c r="M199" s="136"/>
      <c r="N199" s="1"/>
    </row>
    <row r="200" spans="1:14" ht="12.75">
      <c r="A200" s="131"/>
      <c r="B200" s="150" t="s">
        <v>154</v>
      </c>
      <c r="C200" s="255" t="s">
        <v>427</v>
      </c>
      <c r="D200" s="256"/>
      <c r="E200" s="256"/>
      <c r="F200" s="256"/>
      <c r="G200" s="256"/>
      <c r="H200" s="256"/>
      <c r="I200" s="256"/>
      <c r="J200" s="256"/>
      <c r="K200" s="256"/>
      <c r="L200" s="256"/>
      <c r="M200" s="257"/>
      <c r="N200" s="1"/>
    </row>
    <row r="201" spans="1:64" ht="12.75">
      <c r="A201" s="126" t="s">
        <v>76</v>
      </c>
      <c r="B201" s="127" t="s">
        <v>211</v>
      </c>
      <c r="C201" s="242" t="s">
        <v>425</v>
      </c>
      <c r="D201" s="243"/>
      <c r="E201" s="127" t="s">
        <v>570</v>
      </c>
      <c r="F201" s="128">
        <v>3</v>
      </c>
      <c r="G201" s="174"/>
      <c r="H201" s="129">
        <f>F201*AO201</f>
        <v>0</v>
      </c>
      <c r="I201" s="129">
        <f>F201*AP201</f>
        <v>0</v>
      </c>
      <c r="J201" s="129">
        <f>F201*G201</f>
        <v>0</v>
      </c>
      <c r="K201" s="129">
        <v>0.009</v>
      </c>
      <c r="L201" s="129">
        <f>F201*K201</f>
        <v>0.026999999999999996</v>
      </c>
      <c r="M201" s="130" t="s">
        <v>593</v>
      </c>
      <c r="N201" s="1"/>
      <c r="Z201" s="11">
        <f>IF(AQ201="5",BJ201,0)</f>
        <v>0</v>
      </c>
      <c r="AB201" s="11">
        <f>IF(AQ201="1",BH201,0)</f>
        <v>0</v>
      </c>
      <c r="AC201" s="11">
        <f>IF(AQ201="1",BI201,0)</f>
        <v>0</v>
      </c>
      <c r="AD201" s="11">
        <f>IF(AQ201="7",BH201,0)</f>
        <v>0</v>
      </c>
      <c r="AE201" s="11">
        <f>IF(AQ201="7",BI201,0)</f>
        <v>0</v>
      </c>
      <c r="AF201" s="11">
        <f>IF(AQ201="2",BH201,0)</f>
        <v>0</v>
      </c>
      <c r="AG201" s="11">
        <f>IF(AQ201="2",BI201,0)</f>
        <v>0</v>
      </c>
      <c r="AH201" s="11">
        <f>IF(AQ201="0",BJ201,0)</f>
        <v>0</v>
      </c>
      <c r="AI201" s="8"/>
      <c r="AJ201" s="6">
        <f>IF(AN201=0,J201,0)</f>
        <v>0</v>
      </c>
      <c r="AK201" s="6">
        <f>IF(AN201=15,J201,0)</f>
        <v>0</v>
      </c>
      <c r="AL201" s="6">
        <f>IF(AN201=21,J201,0)</f>
        <v>0</v>
      </c>
      <c r="AN201" s="11">
        <v>21</v>
      </c>
      <c r="AO201" s="11">
        <f>G201*0.171863867202304</f>
        <v>0</v>
      </c>
      <c r="AP201" s="11">
        <f>G201*(1-0.171863867202304)</f>
        <v>0</v>
      </c>
      <c r="AQ201" s="12" t="s">
        <v>13</v>
      </c>
      <c r="AV201" s="11">
        <f>AW201+AX201</f>
        <v>0</v>
      </c>
      <c r="AW201" s="11">
        <f>F201*AO201</f>
        <v>0</v>
      </c>
      <c r="AX201" s="11">
        <f>F201*AP201</f>
        <v>0</v>
      </c>
      <c r="AY201" s="14" t="s">
        <v>613</v>
      </c>
      <c r="AZ201" s="14" t="s">
        <v>626</v>
      </c>
      <c r="BA201" s="8" t="s">
        <v>629</v>
      </c>
      <c r="BC201" s="11">
        <f>AW201+AX201</f>
        <v>0</v>
      </c>
      <c r="BD201" s="11">
        <f>G201/(100-BE201)*100</f>
        <v>0</v>
      </c>
      <c r="BE201" s="11">
        <v>0</v>
      </c>
      <c r="BF201" s="11">
        <f>L201</f>
        <v>0.026999999999999996</v>
      </c>
      <c r="BH201" s="6">
        <f>F201*AO201</f>
        <v>0</v>
      </c>
      <c r="BI201" s="6">
        <f>F201*AP201</f>
        <v>0</v>
      </c>
      <c r="BJ201" s="6">
        <f>F201*G201</f>
        <v>0</v>
      </c>
      <c r="BK201" s="6" t="s">
        <v>634</v>
      </c>
      <c r="BL201" s="11">
        <v>767</v>
      </c>
    </row>
    <row r="202" spans="1:14" ht="12.75">
      <c r="A202" s="131"/>
      <c r="B202" s="143" t="s">
        <v>137</v>
      </c>
      <c r="C202" s="250" t="s">
        <v>426</v>
      </c>
      <c r="D202" s="251"/>
      <c r="E202" s="251"/>
      <c r="F202" s="251"/>
      <c r="G202" s="251"/>
      <c r="H202" s="251"/>
      <c r="I202" s="251"/>
      <c r="J202" s="251"/>
      <c r="K202" s="251"/>
      <c r="L202" s="251"/>
      <c r="M202" s="252"/>
      <c r="N202" s="1"/>
    </row>
    <row r="203" spans="1:14" ht="12.75">
      <c r="A203" s="131"/>
      <c r="B203" s="132"/>
      <c r="C203" s="133" t="s">
        <v>9</v>
      </c>
      <c r="D203" s="134"/>
      <c r="E203" s="132"/>
      <c r="F203" s="135">
        <v>3</v>
      </c>
      <c r="G203" s="173"/>
      <c r="H203" s="132"/>
      <c r="I203" s="132"/>
      <c r="J203" s="132"/>
      <c r="K203" s="132"/>
      <c r="L203" s="132"/>
      <c r="M203" s="136"/>
      <c r="N203" s="1"/>
    </row>
    <row r="204" spans="1:14" ht="12.75">
      <c r="A204" s="131"/>
      <c r="B204" s="150" t="s">
        <v>154</v>
      </c>
      <c r="C204" s="255" t="s">
        <v>428</v>
      </c>
      <c r="D204" s="256"/>
      <c r="E204" s="256"/>
      <c r="F204" s="256"/>
      <c r="G204" s="256"/>
      <c r="H204" s="256"/>
      <c r="I204" s="256"/>
      <c r="J204" s="256"/>
      <c r="K204" s="256"/>
      <c r="L204" s="256"/>
      <c r="M204" s="257"/>
      <c r="N204" s="1"/>
    </row>
    <row r="205" spans="1:64" ht="12.75">
      <c r="A205" s="126" t="s">
        <v>77</v>
      </c>
      <c r="B205" s="127" t="s">
        <v>212</v>
      </c>
      <c r="C205" s="242" t="s">
        <v>429</v>
      </c>
      <c r="D205" s="243"/>
      <c r="E205" s="127" t="s">
        <v>565</v>
      </c>
      <c r="F205" s="128">
        <v>4.8</v>
      </c>
      <c r="G205" s="174"/>
      <c r="H205" s="129">
        <f>F205*AO205</f>
        <v>0</v>
      </c>
      <c r="I205" s="129">
        <f>F205*AP205</f>
        <v>0</v>
      </c>
      <c r="J205" s="129">
        <f>F205*G205</f>
        <v>0</v>
      </c>
      <c r="K205" s="129">
        <v>0.03461</v>
      </c>
      <c r="L205" s="129">
        <f>F205*K205</f>
        <v>0.166128</v>
      </c>
      <c r="M205" s="130" t="s">
        <v>593</v>
      </c>
      <c r="N205" s="1"/>
      <c r="Z205" s="11">
        <f>IF(AQ205="5",BJ205,0)</f>
        <v>0</v>
      </c>
      <c r="AB205" s="11">
        <f>IF(AQ205="1",BH205,0)</f>
        <v>0</v>
      </c>
      <c r="AC205" s="11">
        <f>IF(AQ205="1",BI205,0)</f>
        <v>0</v>
      </c>
      <c r="AD205" s="11">
        <f>IF(AQ205="7",BH205,0)</f>
        <v>0</v>
      </c>
      <c r="AE205" s="11">
        <f>IF(AQ205="7",BI205,0)</f>
        <v>0</v>
      </c>
      <c r="AF205" s="11">
        <f>IF(AQ205="2",BH205,0)</f>
        <v>0</v>
      </c>
      <c r="AG205" s="11">
        <f>IF(AQ205="2",BI205,0)</f>
        <v>0</v>
      </c>
      <c r="AH205" s="11">
        <f>IF(AQ205="0",BJ205,0)</f>
        <v>0</v>
      </c>
      <c r="AI205" s="8"/>
      <c r="AJ205" s="6">
        <f>IF(AN205=0,J205,0)</f>
        <v>0</v>
      </c>
      <c r="AK205" s="6">
        <f>IF(AN205=15,J205,0)</f>
        <v>0</v>
      </c>
      <c r="AL205" s="6">
        <f>IF(AN205=21,J205,0)</f>
        <v>0</v>
      </c>
      <c r="AN205" s="11">
        <v>21</v>
      </c>
      <c r="AO205" s="11">
        <f>G205*0.121818181818182</f>
        <v>0</v>
      </c>
      <c r="AP205" s="11">
        <f>G205*(1-0.121818181818182)</f>
        <v>0</v>
      </c>
      <c r="AQ205" s="12" t="s">
        <v>13</v>
      </c>
      <c r="AV205" s="11">
        <f>AW205+AX205</f>
        <v>0</v>
      </c>
      <c r="AW205" s="11">
        <f>F205*AO205</f>
        <v>0</v>
      </c>
      <c r="AX205" s="11">
        <f>F205*AP205</f>
        <v>0</v>
      </c>
      <c r="AY205" s="14" t="s">
        <v>613</v>
      </c>
      <c r="AZ205" s="14" t="s">
        <v>626</v>
      </c>
      <c r="BA205" s="8" t="s">
        <v>629</v>
      </c>
      <c r="BC205" s="11">
        <f>AW205+AX205</f>
        <v>0</v>
      </c>
      <c r="BD205" s="11">
        <f>G205/(100-BE205)*100</f>
        <v>0</v>
      </c>
      <c r="BE205" s="11">
        <v>0</v>
      </c>
      <c r="BF205" s="11">
        <f>L205</f>
        <v>0.166128</v>
      </c>
      <c r="BH205" s="6">
        <f>F205*AO205</f>
        <v>0</v>
      </c>
      <c r="BI205" s="6">
        <f>F205*AP205</f>
        <v>0</v>
      </c>
      <c r="BJ205" s="6">
        <f>F205*G205</f>
        <v>0</v>
      </c>
      <c r="BK205" s="6" t="s">
        <v>634</v>
      </c>
      <c r="BL205" s="11">
        <v>767</v>
      </c>
    </row>
    <row r="206" spans="1:14" ht="12.75">
      <c r="A206" s="131"/>
      <c r="B206" s="132"/>
      <c r="C206" s="133" t="s">
        <v>430</v>
      </c>
      <c r="D206" s="134"/>
      <c r="E206" s="132"/>
      <c r="F206" s="135">
        <v>4.8</v>
      </c>
      <c r="G206" s="173"/>
      <c r="H206" s="132"/>
      <c r="I206" s="132"/>
      <c r="J206" s="132"/>
      <c r="K206" s="132"/>
      <c r="L206" s="132"/>
      <c r="M206" s="136"/>
      <c r="N206" s="1"/>
    </row>
    <row r="207" spans="1:64" ht="12.75">
      <c r="A207" s="126" t="s">
        <v>78</v>
      </c>
      <c r="B207" s="127" t="s">
        <v>213</v>
      </c>
      <c r="C207" s="242" t="s">
        <v>431</v>
      </c>
      <c r="D207" s="243"/>
      <c r="E207" s="127" t="s">
        <v>564</v>
      </c>
      <c r="F207" s="128">
        <v>1</v>
      </c>
      <c r="G207" s="174"/>
      <c r="H207" s="129">
        <f>F207*AO207</f>
        <v>0</v>
      </c>
      <c r="I207" s="129">
        <f>F207*AP207</f>
        <v>0</v>
      </c>
      <c r="J207" s="129">
        <f>F207*G207</f>
        <v>0</v>
      </c>
      <c r="K207" s="129">
        <v>0.00104</v>
      </c>
      <c r="L207" s="129">
        <f>F207*K207</f>
        <v>0.00104</v>
      </c>
      <c r="M207" s="130" t="s">
        <v>593</v>
      </c>
      <c r="N207" s="1"/>
      <c r="Z207" s="11">
        <f>IF(AQ207="5",BJ207,0)</f>
        <v>0</v>
      </c>
      <c r="AB207" s="11">
        <f>IF(AQ207="1",BH207,0)</f>
        <v>0</v>
      </c>
      <c r="AC207" s="11">
        <f>IF(AQ207="1",BI207,0)</f>
        <v>0</v>
      </c>
      <c r="AD207" s="11">
        <f>IF(AQ207="7",BH207,0)</f>
        <v>0</v>
      </c>
      <c r="AE207" s="11">
        <f>IF(AQ207="7",BI207,0)</f>
        <v>0</v>
      </c>
      <c r="AF207" s="11">
        <f>IF(AQ207="2",BH207,0)</f>
        <v>0</v>
      </c>
      <c r="AG207" s="11">
        <f>IF(AQ207="2",BI207,0)</f>
        <v>0</v>
      </c>
      <c r="AH207" s="11">
        <f>IF(AQ207="0",BJ207,0)</f>
        <v>0</v>
      </c>
      <c r="AI207" s="8"/>
      <c r="AJ207" s="6">
        <f>IF(AN207=0,J207,0)</f>
        <v>0</v>
      </c>
      <c r="AK207" s="6">
        <f>IF(AN207=15,J207,0)</f>
        <v>0</v>
      </c>
      <c r="AL207" s="6">
        <f>IF(AN207=21,J207,0)</f>
        <v>0</v>
      </c>
      <c r="AN207" s="11">
        <v>21</v>
      </c>
      <c r="AO207" s="11">
        <f>G207*0.0853395903934954</f>
        <v>0</v>
      </c>
      <c r="AP207" s="11">
        <f>G207*(1-0.0853395903934954)</f>
        <v>0</v>
      </c>
      <c r="AQ207" s="12" t="s">
        <v>13</v>
      </c>
      <c r="AV207" s="11">
        <f>AW207+AX207</f>
        <v>0</v>
      </c>
      <c r="AW207" s="11">
        <f>F207*AO207</f>
        <v>0</v>
      </c>
      <c r="AX207" s="11">
        <f>F207*AP207</f>
        <v>0</v>
      </c>
      <c r="AY207" s="14" t="s">
        <v>613</v>
      </c>
      <c r="AZ207" s="14" t="s">
        <v>626</v>
      </c>
      <c r="BA207" s="8" t="s">
        <v>629</v>
      </c>
      <c r="BC207" s="11">
        <f>AW207+AX207</f>
        <v>0</v>
      </c>
      <c r="BD207" s="11">
        <f>G207/(100-BE207)*100</f>
        <v>0</v>
      </c>
      <c r="BE207" s="11">
        <v>0</v>
      </c>
      <c r="BF207" s="11">
        <f>L207</f>
        <v>0.00104</v>
      </c>
      <c r="BH207" s="6">
        <f>F207*AO207</f>
        <v>0</v>
      </c>
      <c r="BI207" s="6">
        <f>F207*AP207</f>
        <v>0</v>
      </c>
      <c r="BJ207" s="6">
        <f>F207*G207</f>
        <v>0</v>
      </c>
      <c r="BK207" s="6" t="s">
        <v>634</v>
      </c>
      <c r="BL207" s="11">
        <v>767</v>
      </c>
    </row>
    <row r="208" spans="1:14" ht="12.75">
      <c r="A208" s="131"/>
      <c r="B208" s="132"/>
      <c r="C208" s="133" t="s">
        <v>7</v>
      </c>
      <c r="D208" s="134"/>
      <c r="E208" s="132"/>
      <c r="F208" s="135">
        <v>1</v>
      </c>
      <c r="G208" s="173"/>
      <c r="H208" s="132"/>
      <c r="I208" s="132"/>
      <c r="J208" s="132"/>
      <c r="K208" s="132"/>
      <c r="L208" s="132"/>
      <c r="M208" s="136"/>
      <c r="N208" s="1"/>
    </row>
    <row r="209" spans="1:64" ht="12.75">
      <c r="A209" s="126" t="s">
        <v>79</v>
      </c>
      <c r="B209" s="127" t="s">
        <v>214</v>
      </c>
      <c r="C209" s="242" t="s">
        <v>432</v>
      </c>
      <c r="D209" s="243"/>
      <c r="E209" s="127" t="s">
        <v>569</v>
      </c>
      <c r="F209" s="128">
        <v>6</v>
      </c>
      <c r="G209" s="174"/>
      <c r="H209" s="129">
        <f>F209*AO209</f>
        <v>0</v>
      </c>
      <c r="I209" s="129">
        <f>F209*AP209</f>
        <v>0</v>
      </c>
      <c r="J209" s="129">
        <f>F209*G209</f>
        <v>0</v>
      </c>
      <c r="K209" s="129">
        <v>0.001</v>
      </c>
      <c r="L209" s="129">
        <f>F209*K209</f>
        <v>0.006</v>
      </c>
      <c r="M209" s="130" t="s">
        <v>593</v>
      </c>
      <c r="N209" s="1"/>
      <c r="Z209" s="11">
        <f>IF(AQ209="5",BJ209,0)</f>
        <v>0</v>
      </c>
      <c r="AB209" s="11">
        <f>IF(AQ209="1",BH209,0)</f>
        <v>0</v>
      </c>
      <c r="AC209" s="11">
        <f>IF(AQ209="1",BI209,0)</f>
        <v>0</v>
      </c>
      <c r="AD209" s="11">
        <f>IF(AQ209="7",BH209,0)</f>
        <v>0</v>
      </c>
      <c r="AE209" s="11">
        <f>IF(AQ209="7",BI209,0)</f>
        <v>0</v>
      </c>
      <c r="AF209" s="11">
        <f>IF(AQ209="2",BH209,0)</f>
        <v>0</v>
      </c>
      <c r="AG209" s="11">
        <f>IF(AQ209="2",BI209,0)</f>
        <v>0</v>
      </c>
      <c r="AH209" s="11">
        <f>IF(AQ209="0",BJ209,0)</f>
        <v>0</v>
      </c>
      <c r="AI209" s="8"/>
      <c r="AJ209" s="6">
        <f>IF(AN209=0,J209,0)</f>
        <v>0</v>
      </c>
      <c r="AK209" s="6">
        <f>IF(AN209=15,J209,0)</f>
        <v>0</v>
      </c>
      <c r="AL209" s="6">
        <f>IF(AN209=21,J209,0)</f>
        <v>0</v>
      </c>
      <c r="AN209" s="11">
        <v>21</v>
      </c>
      <c r="AO209" s="11">
        <f>G209*0.171863867202304</f>
        <v>0</v>
      </c>
      <c r="AP209" s="11">
        <f>G209*(1-0.171863867202304)</f>
        <v>0</v>
      </c>
      <c r="AQ209" s="12" t="s">
        <v>13</v>
      </c>
      <c r="AV209" s="11">
        <f>AW209+AX209</f>
        <v>0</v>
      </c>
      <c r="AW209" s="11">
        <f>F209*AO209</f>
        <v>0</v>
      </c>
      <c r="AX209" s="11">
        <f>F209*AP209</f>
        <v>0</v>
      </c>
      <c r="AY209" s="14" t="s">
        <v>613</v>
      </c>
      <c r="AZ209" s="14" t="s">
        <v>626</v>
      </c>
      <c r="BA209" s="8" t="s">
        <v>629</v>
      </c>
      <c r="BC209" s="11">
        <f>AW209+AX209</f>
        <v>0</v>
      </c>
      <c r="BD209" s="11">
        <f>G209/(100-BE209)*100</f>
        <v>0</v>
      </c>
      <c r="BE209" s="11">
        <v>0</v>
      </c>
      <c r="BF209" s="11">
        <f>L209</f>
        <v>0.006</v>
      </c>
      <c r="BH209" s="6">
        <f>F209*AO209</f>
        <v>0</v>
      </c>
      <c r="BI209" s="6">
        <f>F209*AP209</f>
        <v>0</v>
      </c>
      <c r="BJ209" s="6">
        <f>F209*G209</f>
        <v>0</v>
      </c>
      <c r="BK209" s="6" t="s">
        <v>634</v>
      </c>
      <c r="BL209" s="11">
        <v>767</v>
      </c>
    </row>
    <row r="210" spans="1:14" ht="12.75">
      <c r="A210" s="131"/>
      <c r="B210" s="132"/>
      <c r="C210" s="133" t="s">
        <v>12</v>
      </c>
      <c r="D210" s="134" t="s">
        <v>552</v>
      </c>
      <c r="E210" s="132"/>
      <c r="F210" s="135">
        <v>6</v>
      </c>
      <c r="G210" s="173"/>
      <c r="H210" s="132"/>
      <c r="I210" s="132"/>
      <c r="J210" s="132"/>
      <c r="K210" s="132"/>
      <c r="L210" s="132"/>
      <c r="M210" s="136"/>
      <c r="N210" s="1"/>
    </row>
    <row r="211" spans="1:14" ht="12.75">
      <c r="A211" s="131"/>
      <c r="B211" s="150" t="s">
        <v>154</v>
      </c>
      <c r="C211" s="255" t="s">
        <v>433</v>
      </c>
      <c r="D211" s="256"/>
      <c r="E211" s="256"/>
      <c r="F211" s="256"/>
      <c r="G211" s="256"/>
      <c r="H211" s="256"/>
      <c r="I211" s="256"/>
      <c r="J211" s="256"/>
      <c r="K211" s="256"/>
      <c r="L211" s="256"/>
      <c r="M211" s="257"/>
      <c r="N211" s="1"/>
    </row>
    <row r="212" spans="1:64" ht="12.75">
      <c r="A212" s="126" t="s">
        <v>80</v>
      </c>
      <c r="B212" s="127" t="s">
        <v>215</v>
      </c>
      <c r="C212" s="242" t="s">
        <v>434</v>
      </c>
      <c r="D212" s="243"/>
      <c r="E212" s="127" t="s">
        <v>569</v>
      </c>
      <c r="F212" s="128">
        <v>50</v>
      </c>
      <c r="G212" s="174"/>
      <c r="H212" s="129">
        <f>F212*AO212</f>
        <v>0</v>
      </c>
      <c r="I212" s="129">
        <f>F212*AP212</f>
        <v>0</v>
      </c>
      <c r="J212" s="129">
        <f>F212*G212</f>
        <v>0</v>
      </c>
      <c r="K212" s="129">
        <v>0.00105</v>
      </c>
      <c r="L212" s="129">
        <f>F212*K212</f>
        <v>0.0525</v>
      </c>
      <c r="M212" s="130" t="s">
        <v>593</v>
      </c>
      <c r="N212" s="1"/>
      <c r="Z212" s="11">
        <f>IF(AQ212="5",BJ212,0)</f>
        <v>0</v>
      </c>
      <c r="AB212" s="11">
        <f>IF(AQ212="1",BH212,0)</f>
        <v>0</v>
      </c>
      <c r="AC212" s="11">
        <f>IF(AQ212="1",BI212,0)</f>
        <v>0</v>
      </c>
      <c r="AD212" s="11">
        <f>IF(AQ212="7",BH212,0)</f>
        <v>0</v>
      </c>
      <c r="AE212" s="11">
        <f>IF(AQ212="7",BI212,0)</f>
        <v>0</v>
      </c>
      <c r="AF212" s="11">
        <f>IF(AQ212="2",BH212,0)</f>
        <v>0</v>
      </c>
      <c r="AG212" s="11">
        <f>IF(AQ212="2",BI212,0)</f>
        <v>0</v>
      </c>
      <c r="AH212" s="11">
        <f>IF(AQ212="0",BJ212,0)</f>
        <v>0</v>
      </c>
      <c r="AI212" s="8"/>
      <c r="AJ212" s="6">
        <f>IF(AN212=0,J212,0)</f>
        <v>0</v>
      </c>
      <c r="AK212" s="6">
        <f>IF(AN212=15,J212,0)</f>
        <v>0</v>
      </c>
      <c r="AL212" s="6">
        <f>IF(AN212=21,J212,0)</f>
        <v>0</v>
      </c>
      <c r="AN212" s="11">
        <v>21</v>
      </c>
      <c r="AO212" s="11">
        <f>G212*0.144494959478158</f>
        <v>0</v>
      </c>
      <c r="AP212" s="11">
        <f>G212*(1-0.144494959478158)</f>
        <v>0</v>
      </c>
      <c r="AQ212" s="12" t="s">
        <v>13</v>
      </c>
      <c r="AV212" s="11">
        <f>AW212+AX212</f>
        <v>0</v>
      </c>
      <c r="AW212" s="11">
        <f>F212*AO212</f>
        <v>0</v>
      </c>
      <c r="AX212" s="11">
        <f>F212*AP212</f>
        <v>0</v>
      </c>
      <c r="AY212" s="14" t="s">
        <v>613</v>
      </c>
      <c r="AZ212" s="14" t="s">
        <v>626</v>
      </c>
      <c r="BA212" s="8" t="s">
        <v>629</v>
      </c>
      <c r="BC212" s="11">
        <f>AW212+AX212</f>
        <v>0</v>
      </c>
      <c r="BD212" s="11">
        <f>G212/(100-BE212)*100</f>
        <v>0</v>
      </c>
      <c r="BE212" s="11">
        <v>0</v>
      </c>
      <c r="BF212" s="11">
        <f>L212</f>
        <v>0.0525</v>
      </c>
      <c r="BH212" s="6">
        <f>F212*AO212</f>
        <v>0</v>
      </c>
      <c r="BI212" s="6">
        <f>F212*AP212</f>
        <v>0</v>
      </c>
      <c r="BJ212" s="6">
        <f>F212*G212</f>
        <v>0</v>
      </c>
      <c r="BK212" s="6" t="s">
        <v>634</v>
      </c>
      <c r="BL212" s="11">
        <v>767</v>
      </c>
    </row>
    <row r="213" spans="1:14" ht="12.75">
      <c r="A213" s="131"/>
      <c r="B213" s="132"/>
      <c r="C213" s="133" t="s">
        <v>56</v>
      </c>
      <c r="D213" s="134" t="s">
        <v>553</v>
      </c>
      <c r="E213" s="132"/>
      <c r="F213" s="135">
        <v>50</v>
      </c>
      <c r="G213" s="173"/>
      <c r="H213" s="132"/>
      <c r="I213" s="132"/>
      <c r="J213" s="132"/>
      <c r="K213" s="132"/>
      <c r="L213" s="132"/>
      <c r="M213" s="136"/>
      <c r="N213" s="1"/>
    </row>
    <row r="214" spans="1:14" ht="12.75">
      <c r="A214" s="131"/>
      <c r="B214" s="150" t="s">
        <v>154</v>
      </c>
      <c r="C214" s="255" t="s">
        <v>435</v>
      </c>
      <c r="D214" s="256"/>
      <c r="E214" s="256"/>
      <c r="F214" s="256"/>
      <c r="G214" s="256"/>
      <c r="H214" s="256"/>
      <c r="I214" s="256"/>
      <c r="J214" s="256"/>
      <c r="K214" s="256"/>
      <c r="L214" s="256"/>
      <c r="M214" s="257"/>
      <c r="N214" s="1"/>
    </row>
    <row r="215" spans="1:64" ht="12.75">
      <c r="A215" s="126" t="s">
        <v>81</v>
      </c>
      <c r="B215" s="127" t="s">
        <v>216</v>
      </c>
      <c r="C215" s="242" t="s">
        <v>436</v>
      </c>
      <c r="D215" s="243"/>
      <c r="E215" s="127" t="s">
        <v>568</v>
      </c>
      <c r="F215" s="128">
        <v>2.163</v>
      </c>
      <c r="G215" s="174"/>
      <c r="H215" s="129">
        <f>F215*AO215</f>
        <v>0</v>
      </c>
      <c r="I215" s="129">
        <f>F215*AP215</f>
        <v>0</v>
      </c>
      <c r="J215" s="129">
        <f>F215*G215</f>
        <v>0</v>
      </c>
      <c r="K215" s="129">
        <v>0</v>
      </c>
      <c r="L215" s="129">
        <f>F215*K215</f>
        <v>0</v>
      </c>
      <c r="M215" s="130" t="s">
        <v>593</v>
      </c>
      <c r="N215" s="1"/>
      <c r="Z215" s="11">
        <f>IF(AQ215="5",BJ215,0)</f>
        <v>0</v>
      </c>
      <c r="AB215" s="11">
        <f>IF(AQ215="1",BH215,0)</f>
        <v>0</v>
      </c>
      <c r="AC215" s="11">
        <f>IF(AQ215="1",BI215,0)</f>
        <v>0</v>
      </c>
      <c r="AD215" s="11">
        <f>IF(AQ215="7",BH215,0)</f>
        <v>0</v>
      </c>
      <c r="AE215" s="11">
        <f>IF(AQ215="7",BI215,0)</f>
        <v>0</v>
      </c>
      <c r="AF215" s="11">
        <f>IF(AQ215="2",BH215,0)</f>
        <v>0</v>
      </c>
      <c r="AG215" s="11">
        <f>IF(AQ215="2",BI215,0)</f>
        <v>0</v>
      </c>
      <c r="AH215" s="11">
        <f>IF(AQ215="0",BJ215,0)</f>
        <v>0</v>
      </c>
      <c r="AI215" s="8"/>
      <c r="AJ215" s="6">
        <f>IF(AN215=0,J215,0)</f>
        <v>0</v>
      </c>
      <c r="AK215" s="6">
        <f>IF(AN215=15,J215,0)</f>
        <v>0</v>
      </c>
      <c r="AL215" s="6">
        <f>IF(AN215=21,J215,0)</f>
        <v>0</v>
      </c>
      <c r="AN215" s="11">
        <v>21</v>
      </c>
      <c r="AO215" s="11">
        <f>G215*0</f>
        <v>0</v>
      </c>
      <c r="AP215" s="11">
        <f>G215*(1-0)</f>
        <v>0</v>
      </c>
      <c r="AQ215" s="12" t="s">
        <v>11</v>
      </c>
      <c r="AV215" s="11">
        <f>AW215+AX215</f>
        <v>0</v>
      </c>
      <c r="AW215" s="11">
        <f>F215*AO215</f>
        <v>0</v>
      </c>
      <c r="AX215" s="11">
        <f>F215*AP215</f>
        <v>0</v>
      </c>
      <c r="AY215" s="14" t="s">
        <v>613</v>
      </c>
      <c r="AZ215" s="14" t="s">
        <v>626</v>
      </c>
      <c r="BA215" s="8" t="s">
        <v>629</v>
      </c>
      <c r="BC215" s="11">
        <f>AW215+AX215</f>
        <v>0</v>
      </c>
      <c r="BD215" s="11">
        <f>G215/(100-BE215)*100</f>
        <v>0</v>
      </c>
      <c r="BE215" s="11">
        <v>0</v>
      </c>
      <c r="BF215" s="11">
        <f>L215</f>
        <v>0</v>
      </c>
      <c r="BH215" s="6">
        <f>F215*AO215</f>
        <v>0</v>
      </c>
      <c r="BI215" s="6">
        <f>F215*AP215</f>
        <v>0</v>
      </c>
      <c r="BJ215" s="6">
        <f>F215*G215</f>
        <v>0</v>
      </c>
      <c r="BK215" s="6" t="s">
        <v>634</v>
      </c>
      <c r="BL215" s="11">
        <v>767</v>
      </c>
    </row>
    <row r="216" spans="1:47" ht="12.75">
      <c r="A216" s="137"/>
      <c r="B216" s="138" t="s">
        <v>217</v>
      </c>
      <c r="C216" s="244" t="s">
        <v>437</v>
      </c>
      <c r="D216" s="245"/>
      <c r="E216" s="139" t="s">
        <v>6</v>
      </c>
      <c r="F216" s="139" t="s">
        <v>6</v>
      </c>
      <c r="G216" s="139" t="s">
        <v>6</v>
      </c>
      <c r="H216" s="140">
        <f>SUM(H217:H226)</f>
        <v>0</v>
      </c>
      <c r="I216" s="140">
        <f>SUM(I217:I226)</f>
        <v>0</v>
      </c>
      <c r="J216" s="140">
        <f>SUM(J217:J226)</f>
        <v>0</v>
      </c>
      <c r="K216" s="141"/>
      <c r="L216" s="140">
        <f>SUM(L217:L226)</f>
        <v>0.396145</v>
      </c>
      <c r="M216" s="142"/>
      <c r="N216" s="1"/>
      <c r="AI216" s="8"/>
      <c r="AS216" s="16">
        <f>SUM(AJ217:AJ226)</f>
        <v>0</v>
      </c>
      <c r="AT216" s="16">
        <f>SUM(AK217:AK226)</f>
        <v>0</v>
      </c>
      <c r="AU216" s="16">
        <f>SUM(AL217:AL226)</f>
        <v>0</v>
      </c>
    </row>
    <row r="217" spans="1:64" ht="12.75">
      <c r="A217" s="126" t="s">
        <v>82</v>
      </c>
      <c r="B217" s="127" t="s">
        <v>218</v>
      </c>
      <c r="C217" s="242" t="s">
        <v>438</v>
      </c>
      <c r="D217" s="243"/>
      <c r="E217" s="127" t="s">
        <v>564</v>
      </c>
      <c r="F217" s="128">
        <v>50</v>
      </c>
      <c r="G217" s="174"/>
      <c r="H217" s="129">
        <f>F217*AO217</f>
        <v>0</v>
      </c>
      <c r="I217" s="129">
        <f>F217*AP217</f>
        <v>0</v>
      </c>
      <c r="J217" s="129">
        <f>F217*G217</f>
        <v>0</v>
      </c>
      <c r="K217" s="129">
        <v>0.00128</v>
      </c>
      <c r="L217" s="129">
        <f>F217*K217</f>
        <v>0.064</v>
      </c>
      <c r="M217" s="130" t="s">
        <v>593</v>
      </c>
      <c r="N217" s="1"/>
      <c r="Z217" s="11">
        <f>IF(AQ217="5",BJ217,0)</f>
        <v>0</v>
      </c>
      <c r="AB217" s="11">
        <f>IF(AQ217="1",BH217,0)</f>
        <v>0</v>
      </c>
      <c r="AC217" s="11">
        <f>IF(AQ217="1",BI217,0)</f>
        <v>0</v>
      </c>
      <c r="AD217" s="11">
        <f>IF(AQ217="7",BH217,0)</f>
        <v>0</v>
      </c>
      <c r="AE217" s="11">
        <f>IF(AQ217="7",BI217,0)</f>
        <v>0</v>
      </c>
      <c r="AF217" s="11">
        <f>IF(AQ217="2",BH217,0)</f>
        <v>0</v>
      </c>
      <c r="AG217" s="11">
        <f>IF(AQ217="2",BI217,0)</f>
        <v>0</v>
      </c>
      <c r="AH217" s="11">
        <f>IF(AQ217="0",BJ217,0)</f>
        <v>0</v>
      </c>
      <c r="AI217" s="8"/>
      <c r="AJ217" s="6">
        <f>IF(AN217=0,J217,0)</f>
        <v>0</v>
      </c>
      <c r="AK217" s="6">
        <f>IF(AN217=15,J217,0)</f>
        <v>0</v>
      </c>
      <c r="AL217" s="6">
        <f>IF(AN217=21,J217,0)</f>
        <v>0</v>
      </c>
      <c r="AN217" s="11">
        <v>21</v>
      </c>
      <c r="AO217" s="11">
        <f>G217*0.117336152219873</f>
        <v>0</v>
      </c>
      <c r="AP217" s="11">
        <f>G217*(1-0.117336152219873)</f>
        <v>0</v>
      </c>
      <c r="AQ217" s="12" t="s">
        <v>13</v>
      </c>
      <c r="AV217" s="11">
        <f>AW217+AX217</f>
        <v>0</v>
      </c>
      <c r="AW217" s="11">
        <f>F217*AO217</f>
        <v>0</v>
      </c>
      <c r="AX217" s="11">
        <f>F217*AP217</f>
        <v>0</v>
      </c>
      <c r="AY217" s="14" t="s">
        <v>614</v>
      </c>
      <c r="AZ217" s="14" t="s">
        <v>627</v>
      </c>
      <c r="BA217" s="8" t="s">
        <v>629</v>
      </c>
      <c r="BC217" s="11">
        <f>AW217+AX217</f>
        <v>0</v>
      </c>
      <c r="BD217" s="11">
        <f>G217/(100-BE217)*100</f>
        <v>0</v>
      </c>
      <c r="BE217" s="11">
        <v>0</v>
      </c>
      <c r="BF217" s="11">
        <f>L217</f>
        <v>0.064</v>
      </c>
      <c r="BH217" s="6">
        <f>F217*AO217</f>
        <v>0</v>
      </c>
      <c r="BI217" s="6">
        <f>F217*AP217</f>
        <v>0</v>
      </c>
      <c r="BJ217" s="6">
        <f>F217*G217</f>
        <v>0</v>
      </c>
      <c r="BK217" s="6" t="s">
        <v>634</v>
      </c>
      <c r="BL217" s="11">
        <v>781</v>
      </c>
    </row>
    <row r="218" spans="1:14" ht="12.75">
      <c r="A218" s="131"/>
      <c r="B218" s="132"/>
      <c r="C218" s="133" t="s">
        <v>439</v>
      </c>
      <c r="D218" s="134" t="s">
        <v>554</v>
      </c>
      <c r="E218" s="132"/>
      <c r="F218" s="135">
        <v>50</v>
      </c>
      <c r="G218" s="173"/>
      <c r="H218" s="132"/>
      <c r="I218" s="132"/>
      <c r="J218" s="132"/>
      <c r="K218" s="132"/>
      <c r="L218" s="132"/>
      <c r="M218" s="136"/>
      <c r="N218" s="1"/>
    </row>
    <row r="219" spans="1:14" ht="25.5" customHeight="1">
      <c r="A219" s="131"/>
      <c r="B219" s="144" t="s">
        <v>132</v>
      </c>
      <c r="C219" s="258" t="s">
        <v>440</v>
      </c>
      <c r="D219" s="259"/>
      <c r="E219" s="259"/>
      <c r="F219" s="259"/>
      <c r="G219" s="259"/>
      <c r="H219" s="259"/>
      <c r="I219" s="259"/>
      <c r="J219" s="259"/>
      <c r="K219" s="259"/>
      <c r="L219" s="259"/>
      <c r="M219" s="260"/>
      <c r="N219" s="1"/>
    </row>
    <row r="220" spans="1:64" ht="12.75">
      <c r="A220" s="126" t="s">
        <v>83</v>
      </c>
      <c r="B220" s="127" t="s">
        <v>219</v>
      </c>
      <c r="C220" s="242" t="s">
        <v>441</v>
      </c>
      <c r="D220" s="243"/>
      <c r="E220" s="127" t="s">
        <v>567</v>
      </c>
      <c r="F220" s="128">
        <v>61</v>
      </c>
      <c r="G220" s="174"/>
      <c r="H220" s="129">
        <f>F220*AO220</f>
        <v>0</v>
      </c>
      <c r="I220" s="129">
        <f>F220*AP220</f>
        <v>0</v>
      </c>
      <c r="J220" s="129">
        <f>F220*G220</f>
        <v>0</v>
      </c>
      <c r="K220" s="129">
        <v>0</v>
      </c>
      <c r="L220" s="129">
        <f>F220*K220</f>
        <v>0</v>
      </c>
      <c r="M220" s="130" t="s">
        <v>593</v>
      </c>
      <c r="N220" s="1"/>
      <c r="Z220" s="11">
        <f>IF(AQ220="5",BJ220,0)</f>
        <v>0</v>
      </c>
      <c r="AB220" s="11">
        <f>IF(AQ220="1",BH220,0)</f>
        <v>0</v>
      </c>
      <c r="AC220" s="11">
        <f>IF(AQ220="1",BI220,0)</f>
        <v>0</v>
      </c>
      <c r="AD220" s="11">
        <f>IF(AQ220="7",BH220,0)</f>
        <v>0</v>
      </c>
      <c r="AE220" s="11">
        <f>IF(AQ220="7",BI220,0)</f>
        <v>0</v>
      </c>
      <c r="AF220" s="11">
        <f>IF(AQ220="2",BH220,0)</f>
        <v>0</v>
      </c>
      <c r="AG220" s="11">
        <f>IF(AQ220="2",BI220,0)</f>
        <v>0</v>
      </c>
      <c r="AH220" s="11">
        <f>IF(AQ220="0",BJ220,0)</f>
        <v>0</v>
      </c>
      <c r="AI220" s="8"/>
      <c r="AJ220" s="6">
        <f>IF(AN220=0,J220,0)</f>
        <v>0</v>
      </c>
      <c r="AK220" s="6">
        <f>IF(AN220=15,J220,0)</f>
        <v>0</v>
      </c>
      <c r="AL220" s="6">
        <f>IF(AN220=21,J220,0)</f>
        <v>0</v>
      </c>
      <c r="AN220" s="11">
        <v>21</v>
      </c>
      <c r="AO220" s="11">
        <f>G220*0</f>
        <v>0</v>
      </c>
      <c r="AP220" s="11">
        <f>G220*(1-0)</f>
        <v>0</v>
      </c>
      <c r="AQ220" s="12" t="s">
        <v>13</v>
      </c>
      <c r="AV220" s="11">
        <f>AW220+AX220</f>
        <v>0</v>
      </c>
      <c r="AW220" s="11">
        <f>F220*AO220</f>
        <v>0</v>
      </c>
      <c r="AX220" s="11">
        <f>F220*AP220</f>
        <v>0</v>
      </c>
      <c r="AY220" s="14" t="s">
        <v>614</v>
      </c>
      <c r="AZ220" s="14" t="s">
        <v>627</v>
      </c>
      <c r="BA220" s="8" t="s">
        <v>629</v>
      </c>
      <c r="BC220" s="11">
        <f>AW220+AX220</f>
        <v>0</v>
      </c>
      <c r="BD220" s="11">
        <f>G220/(100-BE220)*100</f>
        <v>0</v>
      </c>
      <c r="BE220" s="11">
        <v>0</v>
      </c>
      <c r="BF220" s="11">
        <f>L220</f>
        <v>0</v>
      </c>
      <c r="BH220" s="6">
        <f>F220*AO220</f>
        <v>0</v>
      </c>
      <c r="BI220" s="6">
        <f>F220*AP220</f>
        <v>0</v>
      </c>
      <c r="BJ220" s="6">
        <f>F220*G220</f>
        <v>0</v>
      </c>
      <c r="BK220" s="6" t="s">
        <v>634</v>
      </c>
      <c r="BL220" s="11">
        <v>781</v>
      </c>
    </row>
    <row r="221" spans="1:14" ht="12.75">
      <c r="A221" s="131"/>
      <c r="B221" s="132"/>
      <c r="C221" s="133" t="s">
        <v>67</v>
      </c>
      <c r="D221" s="134" t="s">
        <v>555</v>
      </c>
      <c r="E221" s="132"/>
      <c r="F221" s="135">
        <v>61</v>
      </c>
      <c r="G221" s="173"/>
      <c r="H221" s="132"/>
      <c r="I221" s="132"/>
      <c r="J221" s="132"/>
      <c r="K221" s="132"/>
      <c r="L221" s="132"/>
      <c r="M221" s="136"/>
      <c r="N221" s="1"/>
    </row>
    <row r="222" spans="1:64" ht="12.75">
      <c r="A222" s="145" t="s">
        <v>84</v>
      </c>
      <c r="B222" s="146" t="s">
        <v>220</v>
      </c>
      <c r="C222" s="253" t="s">
        <v>442</v>
      </c>
      <c r="D222" s="254"/>
      <c r="E222" s="146" t="s">
        <v>564</v>
      </c>
      <c r="F222" s="147">
        <v>221.43</v>
      </c>
      <c r="G222" s="172"/>
      <c r="H222" s="148">
        <f>F222*AO222</f>
        <v>0</v>
      </c>
      <c r="I222" s="148">
        <f>F222*AP222</f>
        <v>0</v>
      </c>
      <c r="J222" s="148">
        <f>F222*G222</f>
        <v>0</v>
      </c>
      <c r="K222" s="148">
        <v>0.0015</v>
      </c>
      <c r="L222" s="148">
        <f>F222*K222</f>
        <v>0.332145</v>
      </c>
      <c r="M222" s="149"/>
      <c r="N222" s="1"/>
      <c r="Z222" s="11">
        <f>IF(AQ222="5",BJ222,0)</f>
        <v>0</v>
      </c>
      <c r="AB222" s="11">
        <f>IF(AQ222="1",BH222,0)</f>
        <v>0</v>
      </c>
      <c r="AC222" s="11">
        <f>IF(AQ222="1",BI222,0)</f>
        <v>0</v>
      </c>
      <c r="AD222" s="11">
        <f>IF(AQ222="7",BH222,0)</f>
        <v>0</v>
      </c>
      <c r="AE222" s="11">
        <f>IF(AQ222="7",BI222,0)</f>
        <v>0</v>
      </c>
      <c r="AF222" s="11">
        <f>IF(AQ222="2",BH222,0)</f>
        <v>0</v>
      </c>
      <c r="AG222" s="11">
        <f>IF(AQ222="2",BI222,0)</f>
        <v>0</v>
      </c>
      <c r="AH222" s="11">
        <f>IF(AQ222="0",BJ222,0)</f>
        <v>0</v>
      </c>
      <c r="AI222" s="8"/>
      <c r="AJ222" s="7">
        <f>IF(AN222=0,J222,0)</f>
        <v>0</v>
      </c>
      <c r="AK222" s="7">
        <f>IF(AN222=15,J222,0)</f>
        <v>0</v>
      </c>
      <c r="AL222" s="7">
        <f>IF(AN222=21,J222,0)</f>
        <v>0</v>
      </c>
      <c r="AN222" s="11">
        <v>21</v>
      </c>
      <c r="AO222" s="11">
        <f>G222*1</f>
        <v>0</v>
      </c>
      <c r="AP222" s="11">
        <f>G222*(1-1)</f>
        <v>0</v>
      </c>
      <c r="AQ222" s="13" t="s">
        <v>13</v>
      </c>
      <c r="AV222" s="11">
        <f>AW222+AX222</f>
        <v>0</v>
      </c>
      <c r="AW222" s="11">
        <f>F222*AO222</f>
        <v>0</v>
      </c>
      <c r="AX222" s="11">
        <f>F222*AP222</f>
        <v>0</v>
      </c>
      <c r="AY222" s="14" t="s">
        <v>614</v>
      </c>
      <c r="AZ222" s="14" t="s">
        <v>627</v>
      </c>
      <c r="BA222" s="8" t="s">
        <v>629</v>
      </c>
      <c r="BC222" s="11">
        <f>AW222+AX222</f>
        <v>0</v>
      </c>
      <c r="BD222" s="11">
        <f>G222/(100-BE222)*100</f>
        <v>0</v>
      </c>
      <c r="BE222" s="11">
        <v>0</v>
      </c>
      <c r="BF222" s="11">
        <f>L222</f>
        <v>0.332145</v>
      </c>
      <c r="BH222" s="7">
        <f>F222*AO222</f>
        <v>0</v>
      </c>
      <c r="BI222" s="7">
        <f>F222*AP222</f>
        <v>0</v>
      </c>
      <c r="BJ222" s="7">
        <f>F222*G222</f>
        <v>0</v>
      </c>
      <c r="BK222" s="7" t="s">
        <v>635</v>
      </c>
      <c r="BL222" s="11">
        <v>781</v>
      </c>
    </row>
    <row r="223" spans="1:14" ht="12.75">
      <c r="A223" s="131"/>
      <c r="B223" s="132"/>
      <c r="C223" s="133" t="s">
        <v>443</v>
      </c>
      <c r="D223" s="134"/>
      <c r="E223" s="132"/>
      <c r="F223" s="135">
        <v>201.3</v>
      </c>
      <c r="G223" s="173"/>
      <c r="H223" s="132"/>
      <c r="I223" s="132"/>
      <c r="J223" s="132"/>
      <c r="K223" s="132"/>
      <c r="L223" s="132"/>
      <c r="M223" s="136"/>
      <c r="N223" s="1"/>
    </row>
    <row r="224" spans="1:14" ht="12.75">
      <c r="A224" s="131"/>
      <c r="B224" s="132"/>
      <c r="C224" s="133" t="s">
        <v>444</v>
      </c>
      <c r="D224" s="134"/>
      <c r="E224" s="132"/>
      <c r="F224" s="135">
        <v>20.13</v>
      </c>
      <c r="G224" s="173"/>
      <c r="H224" s="132"/>
      <c r="I224" s="132"/>
      <c r="J224" s="132"/>
      <c r="K224" s="132"/>
      <c r="L224" s="132"/>
      <c r="M224" s="136"/>
      <c r="N224" s="1"/>
    </row>
    <row r="225" spans="1:14" ht="12.75">
      <c r="A225" s="131"/>
      <c r="B225" s="144" t="s">
        <v>132</v>
      </c>
      <c r="C225" s="258" t="s">
        <v>445</v>
      </c>
      <c r="D225" s="259"/>
      <c r="E225" s="259"/>
      <c r="F225" s="259"/>
      <c r="G225" s="259"/>
      <c r="H225" s="259"/>
      <c r="I225" s="259"/>
      <c r="J225" s="259"/>
      <c r="K225" s="259"/>
      <c r="L225" s="259"/>
      <c r="M225" s="260"/>
      <c r="N225" s="1"/>
    </row>
    <row r="226" spans="1:64" ht="12.75">
      <c r="A226" s="126" t="s">
        <v>85</v>
      </c>
      <c r="B226" s="127" t="s">
        <v>221</v>
      </c>
      <c r="C226" s="242" t="s">
        <v>446</v>
      </c>
      <c r="D226" s="243"/>
      <c r="E226" s="127" t="s">
        <v>568</v>
      </c>
      <c r="F226" s="128">
        <v>0.396</v>
      </c>
      <c r="G226" s="174"/>
      <c r="H226" s="129">
        <f>F226*AO226</f>
        <v>0</v>
      </c>
      <c r="I226" s="129">
        <f>F226*AP226</f>
        <v>0</v>
      </c>
      <c r="J226" s="129">
        <f>F226*G226</f>
        <v>0</v>
      </c>
      <c r="K226" s="129">
        <v>0</v>
      </c>
      <c r="L226" s="129">
        <f>F226*K226</f>
        <v>0</v>
      </c>
      <c r="M226" s="130" t="s">
        <v>593</v>
      </c>
      <c r="N226" s="1"/>
      <c r="Z226" s="11">
        <f>IF(AQ226="5",BJ226,0)</f>
        <v>0</v>
      </c>
      <c r="AB226" s="11">
        <f>IF(AQ226="1",BH226,0)</f>
        <v>0</v>
      </c>
      <c r="AC226" s="11">
        <f>IF(AQ226="1",BI226,0)</f>
        <v>0</v>
      </c>
      <c r="AD226" s="11">
        <f>IF(AQ226="7",BH226,0)</f>
        <v>0</v>
      </c>
      <c r="AE226" s="11">
        <f>IF(AQ226="7",BI226,0)</f>
        <v>0</v>
      </c>
      <c r="AF226" s="11">
        <f>IF(AQ226="2",BH226,0)</f>
        <v>0</v>
      </c>
      <c r="AG226" s="11">
        <f>IF(AQ226="2",BI226,0)</f>
        <v>0</v>
      </c>
      <c r="AH226" s="11">
        <f>IF(AQ226="0",BJ226,0)</f>
        <v>0</v>
      </c>
      <c r="AI226" s="8"/>
      <c r="AJ226" s="6">
        <f>IF(AN226=0,J226,0)</f>
        <v>0</v>
      </c>
      <c r="AK226" s="6">
        <f>IF(AN226=15,J226,0)</f>
        <v>0</v>
      </c>
      <c r="AL226" s="6">
        <f>IF(AN226=21,J226,0)</f>
        <v>0</v>
      </c>
      <c r="AN226" s="11">
        <v>21</v>
      </c>
      <c r="AO226" s="11">
        <f>G226*0</f>
        <v>0</v>
      </c>
      <c r="AP226" s="11">
        <f>G226*(1-0)</f>
        <v>0</v>
      </c>
      <c r="AQ226" s="12" t="s">
        <v>11</v>
      </c>
      <c r="AV226" s="11">
        <f>AW226+AX226</f>
        <v>0</v>
      </c>
      <c r="AW226" s="11">
        <f>F226*AO226</f>
        <v>0</v>
      </c>
      <c r="AX226" s="11">
        <f>F226*AP226</f>
        <v>0</v>
      </c>
      <c r="AY226" s="14" t="s">
        <v>614</v>
      </c>
      <c r="AZ226" s="14" t="s">
        <v>627</v>
      </c>
      <c r="BA226" s="8" t="s">
        <v>629</v>
      </c>
      <c r="BC226" s="11">
        <f>AW226+AX226</f>
        <v>0</v>
      </c>
      <c r="BD226" s="11">
        <f>G226/(100-BE226)*100</f>
        <v>0</v>
      </c>
      <c r="BE226" s="11">
        <v>0</v>
      </c>
      <c r="BF226" s="11">
        <f>L226</f>
        <v>0</v>
      </c>
      <c r="BH226" s="6">
        <f>F226*AO226</f>
        <v>0</v>
      </c>
      <c r="BI226" s="6">
        <f>F226*AP226</f>
        <v>0</v>
      </c>
      <c r="BJ226" s="6">
        <f>F226*G226</f>
        <v>0</v>
      </c>
      <c r="BK226" s="6" t="s">
        <v>634</v>
      </c>
      <c r="BL226" s="11">
        <v>781</v>
      </c>
    </row>
    <row r="227" spans="1:47" ht="12.75">
      <c r="A227" s="137"/>
      <c r="B227" s="138" t="s">
        <v>222</v>
      </c>
      <c r="C227" s="244" t="s">
        <v>447</v>
      </c>
      <c r="D227" s="245"/>
      <c r="E227" s="139" t="s">
        <v>6</v>
      </c>
      <c r="F227" s="139" t="s">
        <v>6</v>
      </c>
      <c r="G227" s="139" t="s">
        <v>6</v>
      </c>
      <c r="H227" s="140">
        <f>SUM(H228:H234)</f>
        <v>0</v>
      </c>
      <c r="I227" s="140">
        <f>SUM(I228:I234)</f>
        <v>0</v>
      </c>
      <c r="J227" s="140">
        <f>SUM(J228:J234)</f>
        <v>0</v>
      </c>
      <c r="K227" s="141"/>
      <c r="L227" s="140">
        <f>SUM(L228:L234)</f>
        <v>0.30631986</v>
      </c>
      <c r="M227" s="142"/>
      <c r="N227" s="1"/>
      <c r="AI227" s="8"/>
      <c r="AS227" s="16">
        <f>SUM(AJ228:AJ234)</f>
        <v>0</v>
      </c>
      <c r="AT227" s="16">
        <f>SUM(AK228:AK234)</f>
        <v>0</v>
      </c>
      <c r="AU227" s="16">
        <f>SUM(AL228:AL234)</f>
        <v>0</v>
      </c>
    </row>
    <row r="228" spans="1:64" ht="12.75">
      <c r="A228" s="126" t="s">
        <v>86</v>
      </c>
      <c r="B228" s="127" t="s">
        <v>223</v>
      </c>
      <c r="C228" s="242" t="s">
        <v>448</v>
      </c>
      <c r="D228" s="243"/>
      <c r="E228" s="127" t="s">
        <v>565</v>
      </c>
      <c r="F228" s="128">
        <v>310.95</v>
      </c>
      <c r="G228" s="174"/>
      <c r="H228" s="129">
        <f>F228*AO228</f>
        <v>0</v>
      </c>
      <c r="I228" s="129">
        <f>F228*AP228</f>
        <v>0</v>
      </c>
      <c r="J228" s="129">
        <f>F228*G228</f>
        <v>0</v>
      </c>
      <c r="K228" s="129">
        <v>0.00084</v>
      </c>
      <c r="L228" s="129">
        <f>F228*K228</f>
        <v>0.261198</v>
      </c>
      <c r="M228" s="130" t="s">
        <v>593</v>
      </c>
      <c r="N228" s="1"/>
      <c r="Z228" s="11">
        <f>IF(AQ228="5",BJ228,0)</f>
        <v>0</v>
      </c>
      <c r="AB228" s="11">
        <f>IF(AQ228="1",BH228,0)</f>
        <v>0</v>
      </c>
      <c r="AC228" s="11">
        <f>IF(AQ228="1",BI228,0)</f>
        <v>0</v>
      </c>
      <c r="AD228" s="11">
        <f>IF(AQ228="7",BH228,0)</f>
        <v>0</v>
      </c>
      <c r="AE228" s="11">
        <f>IF(AQ228="7",BI228,0)</f>
        <v>0</v>
      </c>
      <c r="AF228" s="11">
        <f>IF(AQ228="2",BH228,0)</f>
        <v>0</v>
      </c>
      <c r="AG228" s="11">
        <f>IF(AQ228="2",BI228,0)</f>
        <v>0</v>
      </c>
      <c r="AH228" s="11">
        <f>IF(AQ228="0",BJ228,0)</f>
        <v>0</v>
      </c>
      <c r="AI228" s="8"/>
      <c r="AJ228" s="6">
        <f>IF(AN228=0,J228,0)</f>
        <v>0</v>
      </c>
      <c r="AK228" s="6">
        <f>IF(AN228=15,J228,0)</f>
        <v>0</v>
      </c>
      <c r="AL228" s="6">
        <f>IF(AN228=21,J228,0)</f>
        <v>0</v>
      </c>
      <c r="AN228" s="11">
        <v>21</v>
      </c>
      <c r="AO228" s="11">
        <f>G228*0.765455538093378</f>
        <v>0</v>
      </c>
      <c r="AP228" s="11">
        <f>G228*(1-0.765455538093378)</f>
        <v>0</v>
      </c>
      <c r="AQ228" s="12" t="s">
        <v>13</v>
      </c>
      <c r="AV228" s="11">
        <f>AW228+AX228</f>
        <v>0</v>
      </c>
      <c r="AW228" s="11">
        <f>F228*AO228</f>
        <v>0</v>
      </c>
      <c r="AX228" s="11">
        <f>F228*AP228</f>
        <v>0</v>
      </c>
      <c r="AY228" s="14" t="s">
        <v>615</v>
      </c>
      <c r="AZ228" s="14" t="s">
        <v>627</v>
      </c>
      <c r="BA228" s="8" t="s">
        <v>629</v>
      </c>
      <c r="BC228" s="11">
        <f>AW228+AX228</f>
        <v>0</v>
      </c>
      <c r="BD228" s="11">
        <f>G228/(100-BE228)*100</f>
        <v>0</v>
      </c>
      <c r="BE228" s="11">
        <v>0</v>
      </c>
      <c r="BF228" s="11">
        <f>L228</f>
        <v>0.261198</v>
      </c>
      <c r="BH228" s="6">
        <f>F228*AO228</f>
        <v>0</v>
      </c>
      <c r="BI228" s="6">
        <f>F228*AP228</f>
        <v>0</v>
      </c>
      <c r="BJ228" s="6">
        <f>F228*G228</f>
        <v>0</v>
      </c>
      <c r="BK228" s="6" t="s">
        <v>634</v>
      </c>
      <c r="BL228" s="11">
        <v>783</v>
      </c>
    </row>
    <row r="229" spans="1:14" ht="12.75">
      <c r="A229" s="131"/>
      <c r="B229" s="132"/>
      <c r="C229" s="133" t="s">
        <v>279</v>
      </c>
      <c r="D229" s="134" t="s">
        <v>535</v>
      </c>
      <c r="E229" s="132"/>
      <c r="F229" s="135">
        <v>310.95</v>
      </c>
      <c r="G229" s="173"/>
      <c r="H229" s="132"/>
      <c r="I229" s="132"/>
      <c r="J229" s="132"/>
      <c r="K229" s="132"/>
      <c r="L229" s="132"/>
      <c r="M229" s="136"/>
      <c r="N229" s="1"/>
    </row>
    <row r="230" spans="1:14" ht="38.25" customHeight="1">
      <c r="A230" s="131"/>
      <c r="B230" s="144" t="s">
        <v>132</v>
      </c>
      <c r="C230" s="258" t="s">
        <v>449</v>
      </c>
      <c r="D230" s="259"/>
      <c r="E230" s="259"/>
      <c r="F230" s="259"/>
      <c r="G230" s="259"/>
      <c r="H230" s="259"/>
      <c r="I230" s="259"/>
      <c r="J230" s="259"/>
      <c r="K230" s="259"/>
      <c r="L230" s="259"/>
      <c r="M230" s="260"/>
      <c r="N230" s="1"/>
    </row>
    <row r="231" spans="1:64" ht="12.75">
      <c r="A231" s="126" t="s">
        <v>87</v>
      </c>
      <c r="B231" s="127" t="s">
        <v>224</v>
      </c>
      <c r="C231" s="242" t="s">
        <v>450</v>
      </c>
      <c r="D231" s="243"/>
      <c r="E231" s="127" t="s">
        <v>565</v>
      </c>
      <c r="F231" s="128">
        <v>147.118</v>
      </c>
      <c r="G231" s="174"/>
      <c r="H231" s="129">
        <f>F231*AO231</f>
        <v>0</v>
      </c>
      <c r="I231" s="129">
        <f>F231*AP231</f>
        <v>0</v>
      </c>
      <c r="J231" s="129">
        <f>F231*G231</f>
        <v>0</v>
      </c>
      <c r="K231" s="129">
        <v>0.00027</v>
      </c>
      <c r="L231" s="129">
        <f>F231*K231</f>
        <v>0.03972186</v>
      </c>
      <c r="M231" s="130" t="s">
        <v>593</v>
      </c>
      <c r="N231" s="1"/>
      <c r="Z231" s="11">
        <f>IF(AQ231="5",BJ231,0)</f>
        <v>0</v>
      </c>
      <c r="AB231" s="11">
        <f>IF(AQ231="1",BH231,0)</f>
        <v>0</v>
      </c>
      <c r="AC231" s="11">
        <f>IF(AQ231="1",BI231,0)</f>
        <v>0</v>
      </c>
      <c r="AD231" s="11">
        <f>IF(AQ231="7",BH231,0)</f>
        <v>0</v>
      </c>
      <c r="AE231" s="11">
        <f>IF(AQ231="7",BI231,0)</f>
        <v>0</v>
      </c>
      <c r="AF231" s="11">
        <f>IF(AQ231="2",BH231,0)</f>
        <v>0</v>
      </c>
      <c r="AG231" s="11">
        <f>IF(AQ231="2",BI231,0)</f>
        <v>0</v>
      </c>
      <c r="AH231" s="11">
        <f>IF(AQ231="0",BJ231,0)</f>
        <v>0</v>
      </c>
      <c r="AI231" s="8"/>
      <c r="AJ231" s="6">
        <f>IF(AN231=0,J231,0)</f>
        <v>0</v>
      </c>
      <c r="AK231" s="6">
        <f>IF(AN231=15,J231,0)</f>
        <v>0</v>
      </c>
      <c r="AL231" s="6">
        <f>IF(AN231=21,J231,0)</f>
        <v>0</v>
      </c>
      <c r="AN231" s="11">
        <v>21</v>
      </c>
      <c r="AO231" s="11">
        <f>G231*0.149609172024525</f>
        <v>0</v>
      </c>
      <c r="AP231" s="11">
        <f>G231*(1-0.149609172024525)</f>
        <v>0</v>
      </c>
      <c r="AQ231" s="12" t="s">
        <v>13</v>
      </c>
      <c r="AV231" s="11">
        <f>AW231+AX231</f>
        <v>0</v>
      </c>
      <c r="AW231" s="11">
        <f>F231*AO231</f>
        <v>0</v>
      </c>
      <c r="AX231" s="11">
        <f>F231*AP231</f>
        <v>0</v>
      </c>
      <c r="AY231" s="14" t="s">
        <v>615</v>
      </c>
      <c r="AZ231" s="14" t="s">
        <v>627</v>
      </c>
      <c r="BA231" s="8" t="s">
        <v>629</v>
      </c>
      <c r="BC231" s="11">
        <f>AW231+AX231</f>
        <v>0</v>
      </c>
      <c r="BD231" s="11">
        <f>G231/(100-BE231)*100</f>
        <v>0</v>
      </c>
      <c r="BE231" s="11">
        <v>0</v>
      </c>
      <c r="BF231" s="11">
        <f>L231</f>
        <v>0.03972186</v>
      </c>
      <c r="BH231" s="6">
        <f>F231*AO231</f>
        <v>0</v>
      </c>
      <c r="BI231" s="6">
        <f>F231*AP231</f>
        <v>0</v>
      </c>
      <c r="BJ231" s="6">
        <f>F231*G231</f>
        <v>0</v>
      </c>
      <c r="BK231" s="6" t="s">
        <v>634</v>
      </c>
      <c r="BL231" s="11">
        <v>783</v>
      </c>
    </row>
    <row r="232" spans="1:14" ht="12.75">
      <c r="A232" s="131"/>
      <c r="B232" s="132"/>
      <c r="C232" s="133" t="s">
        <v>451</v>
      </c>
      <c r="D232" s="134"/>
      <c r="E232" s="132"/>
      <c r="F232" s="135">
        <v>89.824</v>
      </c>
      <c r="G232" s="173"/>
      <c r="H232" s="132"/>
      <c r="I232" s="132"/>
      <c r="J232" s="132"/>
      <c r="K232" s="132"/>
      <c r="L232" s="132"/>
      <c r="M232" s="136"/>
      <c r="N232" s="1"/>
    </row>
    <row r="233" spans="1:14" ht="12.75">
      <c r="A233" s="131"/>
      <c r="B233" s="132"/>
      <c r="C233" s="133" t="s">
        <v>452</v>
      </c>
      <c r="D233" s="134"/>
      <c r="E233" s="132"/>
      <c r="F233" s="135">
        <v>57.294</v>
      </c>
      <c r="G233" s="173"/>
      <c r="H233" s="132"/>
      <c r="I233" s="132"/>
      <c r="J233" s="132"/>
      <c r="K233" s="132"/>
      <c r="L233" s="132"/>
      <c r="M233" s="136"/>
      <c r="N233" s="1"/>
    </row>
    <row r="234" spans="1:64" ht="12.75">
      <c r="A234" s="126" t="s">
        <v>88</v>
      </c>
      <c r="B234" s="127" t="s">
        <v>224</v>
      </c>
      <c r="C234" s="242" t="s">
        <v>450</v>
      </c>
      <c r="D234" s="243"/>
      <c r="E234" s="127" t="s">
        <v>565</v>
      </c>
      <c r="F234" s="128">
        <v>20</v>
      </c>
      <c r="G234" s="174"/>
      <c r="H234" s="129">
        <f>F234*AO234</f>
        <v>0</v>
      </c>
      <c r="I234" s="129">
        <f>F234*AP234</f>
        <v>0</v>
      </c>
      <c r="J234" s="129">
        <f>F234*G234</f>
        <v>0</v>
      </c>
      <c r="K234" s="129">
        <v>0.00027</v>
      </c>
      <c r="L234" s="129">
        <f>F234*K234</f>
        <v>0.0054</v>
      </c>
      <c r="M234" s="130" t="s">
        <v>593</v>
      </c>
      <c r="N234" s="1"/>
      <c r="Z234" s="11">
        <f>IF(AQ234="5",BJ234,0)</f>
        <v>0</v>
      </c>
      <c r="AB234" s="11">
        <f>IF(AQ234="1",BH234,0)</f>
        <v>0</v>
      </c>
      <c r="AC234" s="11">
        <f>IF(AQ234="1",BI234,0)</f>
        <v>0</v>
      </c>
      <c r="AD234" s="11">
        <f>IF(AQ234="7",BH234,0)</f>
        <v>0</v>
      </c>
      <c r="AE234" s="11">
        <f>IF(AQ234="7",BI234,0)</f>
        <v>0</v>
      </c>
      <c r="AF234" s="11">
        <f>IF(AQ234="2",BH234,0)</f>
        <v>0</v>
      </c>
      <c r="AG234" s="11">
        <f>IF(AQ234="2",BI234,0)</f>
        <v>0</v>
      </c>
      <c r="AH234" s="11">
        <f>IF(AQ234="0",BJ234,0)</f>
        <v>0</v>
      </c>
      <c r="AI234" s="8"/>
      <c r="AJ234" s="6">
        <f>IF(AN234=0,J234,0)</f>
        <v>0</v>
      </c>
      <c r="AK234" s="6">
        <f>IF(AN234=15,J234,0)</f>
        <v>0</v>
      </c>
      <c r="AL234" s="6">
        <f>IF(AN234=21,J234,0)</f>
        <v>0</v>
      </c>
      <c r="AN234" s="11">
        <v>21</v>
      </c>
      <c r="AO234" s="11">
        <f>G234*0.149609195402299</f>
        <v>0</v>
      </c>
      <c r="AP234" s="11">
        <f>G234*(1-0.149609195402299)</f>
        <v>0</v>
      </c>
      <c r="AQ234" s="12" t="s">
        <v>13</v>
      </c>
      <c r="AV234" s="11">
        <f>AW234+AX234</f>
        <v>0</v>
      </c>
      <c r="AW234" s="11">
        <f>F234*AO234</f>
        <v>0</v>
      </c>
      <c r="AX234" s="11">
        <f>F234*AP234</f>
        <v>0</v>
      </c>
      <c r="AY234" s="14" t="s">
        <v>615</v>
      </c>
      <c r="AZ234" s="14" t="s">
        <v>627</v>
      </c>
      <c r="BA234" s="8" t="s">
        <v>629</v>
      </c>
      <c r="BC234" s="11">
        <f>AW234+AX234</f>
        <v>0</v>
      </c>
      <c r="BD234" s="11">
        <f>G234/(100-BE234)*100</f>
        <v>0</v>
      </c>
      <c r="BE234" s="11">
        <v>0</v>
      </c>
      <c r="BF234" s="11">
        <f>L234</f>
        <v>0.0054</v>
      </c>
      <c r="BH234" s="6">
        <f>F234*AO234</f>
        <v>0</v>
      </c>
      <c r="BI234" s="6">
        <f>F234*AP234</f>
        <v>0</v>
      </c>
      <c r="BJ234" s="6">
        <f>F234*G234</f>
        <v>0</v>
      </c>
      <c r="BK234" s="6" t="s">
        <v>634</v>
      </c>
      <c r="BL234" s="11">
        <v>783</v>
      </c>
    </row>
    <row r="235" spans="1:14" ht="12.75">
      <c r="A235" s="131"/>
      <c r="B235" s="132"/>
      <c r="C235" s="133" t="s">
        <v>26</v>
      </c>
      <c r="D235" s="134" t="s">
        <v>553</v>
      </c>
      <c r="E235" s="132"/>
      <c r="F235" s="135">
        <v>20</v>
      </c>
      <c r="G235" s="173"/>
      <c r="H235" s="132"/>
      <c r="I235" s="132"/>
      <c r="J235" s="132"/>
      <c r="K235" s="132"/>
      <c r="L235" s="132"/>
      <c r="M235" s="136"/>
      <c r="N235" s="1"/>
    </row>
    <row r="236" spans="1:14" ht="12.75">
      <c r="A236" s="131"/>
      <c r="B236" s="150" t="s">
        <v>154</v>
      </c>
      <c r="C236" s="255" t="s">
        <v>453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7"/>
      <c r="N236" s="1"/>
    </row>
    <row r="237" spans="1:47" ht="12.75">
      <c r="A237" s="137"/>
      <c r="B237" s="138" t="s">
        <v>225</v>
      </c>
      <c r="C237" s="244" t="s">
        <v>454</v>
      </c>
      <c r="D237" s="245"/>
      <c r="E237" s="139" t="s">
        <v>6</v>
      </c>
      <c r="F237" s="139" t="s">
        <v>6</v>
      </c>
      <c r="G237" s="139" t="s">
        <v>6</v>
      </c>
      <c r="H237" s="140">
        <f>SUM(H238:H240)</f>
        <v>0</v>
      </c>
      <c r="I237" s="140">
        <f>SUM(I238:I240)</f>
        <v>0</v>
      </c>
      <c r="J237" s="140">
        <f>SUM(J238:J240)</f>
        <v>0</v>
      </c>
      <c r="K237" s="141"/>
      <c r="L237" s="140">
        <f>SUM(L238:L240)</f>
        <v>4E-05</v>
      </c>
      <c r="M237" s="142"/>
      <c r="N237" s="1"/>
      <c r="AI237" s="8"/>
      <c r="AS237" s="16">
        <f>SUM(AJ238:AJ240)</f>
        <v>0</v>
      </c>
      <c r="AT237" s="16">
        <f>SUM(AK238:AK240)</f>
        <v>0</v>
      </c>
      <c r="AU237" s="16">
        <f>SUM(AL238:AL240)</f>
        <v>0</v>
      </c>
    </row>
    <row r="238" spans="1:64" ht="12.75">
      <c r="A238" s="126" t="s">
        <v>89</v>
      </c>
      <c r="B238" s="127" t="s">
        <v>226</v>
      </c>
      <c r="C238" s="242" t="s">
        <v>455</v>
      </c>
      <c r="D238" s="243"/>
      <c r="E238" s="127" t="s">
        <v>567</v>
      </c>
      <c r="F238" s="128">
        <v>4</v>
      </c>
      <c r="G238" s="174"/>
      <c r="H238" s="129">
        <f>F238*AO238</f>
        <v>0</v>
      </c>
      <c r="I238" s="129">
        <f>F238*AP238</f>
        <v>0</v>
      </c>
      <c r="J238" s="129">
        <f>F238*G238</f>
        <v>0</v>
      </c>
      <c r="K238" s="129">
        <v>0</v>
      </c>
      <c r="L238" s="129">
        <f>F238*K238</f>
        <v>0</v>
      </c>
      <c r="M238" s="130" t="s">
        <v>593</v>
      </c>
      <c r="N238" s="1"/>
      <c r="Z238" s="11">
        <f>IF(AQ238="5",BJ238,0)</f>
        <v>0</v>
      </c>
      <c r="AB238" s="11">
        <f>IF(AQ238="1",BH238,0)</f>
        <v>0</v>
      </c>
      <c r="AC238" s="11">
        <f>IF(AQ238="1",BI238,0)</f>
        <v>0</v>
      </c>
      <c r="AD238" s="11">
        <f>IF(AQ238="7",BH238,0)</f>
        <v>0</v>
      </c>
      <c r="AE238" s="11">
        <f>IF(AQ238="7",BI238,0)</f>
        <v>0</v>
      </c>
      <c r="AF238" s="11">
        <f>IF(AQ238="2",BH238,0)</f>
        <v>0</v>
      </c>
      <c r="AG238" s="11">
        <f>IF(AQ238="2",BI238,0)</f>
        <v>0</v>
      </c>
      <c r="AH238" s="11">
        <f>IF(AQ238="0",BJ238,0)</f>
        <v>0</v>
      </c>
      <c r="AI238" s="8"/>
      <c r="AJ238" s="6">
        <f>IF(AN238=0,J238,0)</f>
        <v>0</v>
      </c>
      <c r="AK238" s="6">
        <f>IF(AN238=15,J238,0)</f>
        <v>0</v>
      </c>
      <c r="AL238" s="6">
        <f>IF(AN238=21,J238,0)</f>
        <v>0</v>
      </c>
      <c r="AN238" s="11">
        <v>21</v>
      </c>
      <c r="AO238" s="11">
        <f>G238*0.0416666666666667</f>
        <v>0</v>
      </c>
      <c r="AP238" s="11">
        <f>G238*(1-0.0416666666666667)</f>
        <v>0</v>
      </c>
      <c r="AQ238" s="12" t="s">
        <v>13</v>
      </c>
      <c r="AV238" s="11">
        <f>AW238+AX238</f>
        <v>0</v>
      </c>
      <c r="AW238" s="11">
        <f>F238*AO238</f>
        <v>0</v>
      </c>
      <c r="AX238" s="11">
        <f>F238*AP238</f>
        <v>0</v>
      </c>
      <c r="AY238" s="14" t="s">
        <v>616</v>
      </c>
      <c r="AZ238" s="14" t="s">
        <v>627</v>
      </c>
      <c r="BA238" s="8" t="s">
        <v>629</v>
      </c>
      <c r="BC238" s="11">
        <f>AW238+AX238</f>
        <v>0</v>
      </c>
      <c r="BD238" s="11">
        <f>G238/(100-BE238)*100</f>
        <v>0</v>
      </c>
      <c r="BE238" s="11">
        <v>0</v>
      </c>
      <c r="BF238" s="11">
        <f>L238</f>
        <v>0</v>
      </c>
      <c r="BH238" s="6">
        <f>F238*AO238</f>
        <v>0</v>
      </c>
      <c r="BI238" s="6">
        <f>F238*AP238</f>
        <v>0</v>
      </c>
      <c r="BJ238" s="6">
        <f>F238*G238</f>
        <v>0</v>
      </c>
      <c r="BK238" s="6" t="s">
        <v>634</v>
      </c>
      <c r="BL238" s="11">
        <v>784</v>
      </c>
    </row>
    <row r="239" spans="1:14" ht="12.75">
      <c r="A239" s="131"/>
      <c r="B239" s="132"/>
      <c r="C239" s="133" t="s">
        <v>10</v>
      </c>
      <c r="D239" s="134" t="s">
        <v>553</v>
      </c>
      <c r="E239" s="132"/>
      <c r="F239" s="135">
        <v>4</v>
      </c>
      <c r="G239" s="173"/>
      <c r="H239" s="132"/>
      <c r="I239" s="132"/>
      <c r="J239" s="132"/>
      <c r="K239" s="132"/>
      <c r="L239" s="132"/>
      <c r="M239" s="136"/>
      <c r="N239" s="1"/>
    </row>
    <row r="240" spans="1:64" ht="12.75">
      <c r="A240" s="126" t="s">
        <v>90</v>
      </c>
      <c r="B240" s="127" t="s">
        <v>227</v>
      </c>
      <c r="C240" s="242" t="s">
        <v>456</v>
      </c>
      <c r="D240" s="243"/>
      <c r="E240" s="127" t="s">
        <v>567</v>
      </c>
      <c r="F240" s="128">
        <v>4</v>
      </c>
      <c r="G240" s="174"/>
      <c r="H240" s="129">
        <f>F240*AO240</f>
        <v>0</v>
      </c>
      <c r="I240" s="129">
        <f>F240*AP240</f>
        <v>0</v>
      </c>
      <c r="J240" s="129">
        <f>F240*G240</f>
        <v>0</v>
      </c>
      <c r="K240" s="129">
        <v>1E-05</v>
      </c>
      <c r="L240" s="129">
        <f>F240*K240</f>
        <v>4E-05</v>
      </c>
      <c r="M240" s="130" t="s">
        <v>593</v>
      </c>
      <c r="N240" s="1"/>
      <c r="Z240" s="11">
        <f>IF(AQ240="5",BJ240,0)</f>
        <v>0</v>
      </c>
      <c r="AB240" s="11">
        <f>IF(AQ240="1",BH240,0)</f>
        <v>0</v>
      </c>
      <c r="AC240" s="11">
        <f>IF(AQ240="1",BI240,0)</f>
        <v>0</v>
      </c>
      <c r="AD240" s="11">
        <f>IF(AQ240="7",BH240,0)</f>
        <v>0</v>
      </c>
      <c r="AE240" s="11">
        <f>IF(AQ240="7",BI240,0)</f>
        <v>0</v>
      </c>
      <c r="AF240" s="11">
        <f>IF(AQ240="2",BH240,0)</f>
        <v>0</v>
      </c>
      <c r="AG240" s="11">
        <f>IF(AQ240="2",BI240,0)</f>
        <v>0</v>
      </c>
      <c r="AH240" s="11">
        <f>IF(AQ240="0",BJ240,0)</f>
        <v>0</v>
      </c>
      <c r="AI240" s="8"/>
      <c r="AJ240" s="6">
        <f>IF(AN240=0,J240,0)</f>
        <v>0</v>
      </c>
      <c r="AK240" s="6">
        <f>IF(AN240=15,J240,0)</f>
        <v>0</v>
      </c>
      <c r="AL240" s="6">
        <f>IF(AN240=21,J240,0)</f>
        <v>0</v>
      </c>
      <c r="AN240" s="11">
        <v>21</v>
      </c>
      <c r="AO240" s="11">
        <f>G240*0.0654008438818565</f>
        <v>0</v>
      </c>
      <c r="AP240" s="11">
        <f>G240*(1-0.0654008438818565)</f>
        <v>0</v>
      </c>
      <c r="AQ240" s="12" t="s">
        <v>13</v>
      </c>
      <c r="AV240" s="11">
        <f>AW240+AX240</f>
        <v>0</v>
      </c>
      <c r="AW240" s="11">
        <f>F240*AO240</f>
        <v>0</v>
      </c>
      <c r="AX240" s="11">
        <f>F240*AP240</f>
        <v>0</v>
      </c>
      <c r="AY240" s="14" t="s">
        <v>616</v>
      </c>
      <c r="AZ240" s="14" t="s">
        <v>627</v>
      </c>
      <c r="BA240" s="8" t="s">
        <v>629</v>
      </c>
      <c r="BC240" s="11">
        <f>AW240+AX240</f>
        <v>0</v>
      </c>
      <c r="BD240" s="11">
        <f>G240/(100-BE240)*100</f>
        <v>0</v>
      </c>
      <c r="BE240" s="11">
        <v>0</v>
      </c>
      <c r="BF240" s="11">
        <f>L240</f>
        <v>4E-05</v>
      </c>
      <c r="BH240" s="6">
        <f>F240*AO240</f>
        <v>0</v>
      </c>
      <c r="BI240" s="6">
        <f>F240*AP240</f>
        <v>0</v>
      </c>
      <c r="BJ240" s="6">
        <f>F240*G240</f>
        <v>0</v>
      </c>
      <c r="BK240" s="6" t="s">
        <v>634</v>
      </c>
      <c r="BL240" s="11">
        <v>784</v>
      </c>
    </row>
    <row r="241" spans="1:14" ht="12.75">
      <c r="A241" s="131"/>
      <c r="B241" s="132"/>
      <c r="C241" s="133" t="s">
        <v>10</v>
      </c>
      <c r="D241" s="134" t="s">
        <v>553</v>
      </c>
      <c r="E241" s="132"/>
      <c r="F241" s="135">
        <v>4</v>
      </c>
      <c r="G241" s="173"/>
      <c r="H241" s="132"/>
      <c r="I241" s="132"/>
      <c r="J241" s="132"/>
      <c r="K241" s="132"/>
      <c r="L241" s="132"/>
      <c r="M241" s="136"/>
      <c r="N241" s="1"/>
    </row>
    <row r="242" spans="1:14" ht="12.75">
      <c r="A242" s="131"/>
      <c r="B242" s="150" t="s">
        <v>154</v>
      </c>
      <c r="C242" s="255" t="s">
        <v>457</v>
      </c>
      <c r="D242" s="256"/>
      <c r="E242" s="256"/>
      <c r="F242" s="256"/>
      <c r="G242" s="256"/>
      <c r="H242" s="256"/>
      <c r="I242" s="256"/>
      <c r="J242" s="256"/>
      <c r="K242" s="256"/>
      <c r="L242" s="256"/>
      <c r="M242" s="257"/>
      <c r="N242" s="1"/>
    </row>
    <row r="243" spans="1:47" ht="12.75">
      <c r="A243" s="137"/>
      <c r="B243" s="138" t="s">
        <v>228</v>
      </c>
      <c r="C243" s="244" t="s">
        <v>458</v>
      </c>
      <c r="D243" s="245"/>
      <c r="E243" s="139" t="s">
        <v>6</v>
      </c>
      <c r="F243" s="139" t="s">
        <v>6</v>
      </c>
      <c r="G243" s="139" t="s">
        <v>6</v>
      </c>
      <c r="H243" s="140">
        <f>SUM(H244:H262)</f>
        <v>0</v>
      </c>
      <c r="I243" s="140">
        <f>SUM(I244:I262)</f>
        <v>0</v>
      </c>
      <c r="J243" s="140">
        <f>SUM(J244:J262)</f>
        <v>0</v>
      </c>
      <c r="K243" s="141"/>
      <c r="L243" s="140">
        <f>SUM(L244:L262)</f>
        <v>2.61288997</v>
      </c>
      <c r="M243" s="142"/>
      <c r="N243" s="1"/>
      <c r="AI243" s="8"/>
      <c r="AS243" s="16">
        <f>SUM(AJ244:AJ262)</f>
        <v>0</v>
      </c>
      <c r="AT243" s="16">
        <f>SUM(AK244:AK262)</f>
        <v>0</v>
      </c>
      <c r="AU243" s="16">
        <f>SUM(AL244:AL262)</f>
        <v>0</v>
      </c>
    </row>
    <row r="244" spans="1:64" ht="12.75">
      <c r="A244" s="126" t="s">
        <v>91</v>
      </c>
      <c r="B244" s="127" t="s">
        <v>229</v>
      </c>
      <c r="C244" s="242" t="s">
        <v>459</v>
      </c>
      <c r="D244" s="243"/>
      <c r="E244" s="127" t="s">
        <v>565</v>
      </c>
      <c r="F244" s="128">
        <v>71.758</v>
      </c>
      <c r="G244" s="174"/>
      <c r="H244" s="129">
        <f>F244*AO244</f>
        <v>0</v>
      </c>
      <c r="I244" s="129">
        <f>F244*AP244</f>
        <v>0</v>
      </c>
      <c r="J244" s="129">
        <f>F244*G244</f>
        <v>0</v>
      </c>
      <c r="K244" s="129">
        <v>0.014</v>
      </c>
      <c r="L244" s="129">
        <f>F244*K244</f>
        <v>1.004612</v>
      </c>
      <c r="M244" s="130" t="s">
        <v>593</v>
      </c>
      <c r="N244" s="1"/>
      <c r="Z244" s="11">
        <f>IF(AQ244="5",BJ244,0)</f>
        <v>0</v>
      </c>
      <c r="AB244" s="11">
        <f>IF(AQ244="1",BH244,0)</f>
        <v>0</v>
      </c>
      <c r="AC244" s="11">
        <f>IF(AQ244="1",BI244,0)</f>
        <v>0</v>
      </c>
      <c r="AD244" s="11">
        <f>IF(AQ244="7",BH244,0)</f>
        <v>0</v>
      </c>
      <c r="AE244" s="11">
        <f>IF(AQ244="7",BI244,0)</f>
        <v>0</v>
      </c>
      <c r="AF244" s="11">
        <f>IF(AQ244="2",BH244,0)</f>
        <v>0</v>
      </c>
      <c r="AG244" s="11">
        <f>IF(AQ244="2",BI244,0)</f>
        <v>0</v>
      </c>
      <c r="AH244" s="11">
        <f>IF(AQ244="0",BJ244,0)</f>
        <v>0</v>
      </c>
      <c r="AI244" s="8"/>
      <c r="AJ244" s="6">
        <f>IF(AN244=0,J244,0)</f>
        <v>0</v>
      </c>
      <c r="AK244" s="6">
        <f>IF(AN244=15,J244,0)</f>
        <v>0</v>
      </c>
      <c r="AL244" s="6">
        <f>IF(AN244=21,J244,0)</f>
        <v>0</v>
      </c>
      <c r="AN244" s="11">
        <v>21</v>
      </c>
      <c r="AO244" s="11">
        <f>G244*0</f>
        <v>0</v>
      </c>
      <c r="AP244" s="11">
        <f>G244*(1-0)</f>
        <v>0</v>
      </c>
      <c r="AQ244" s="12" t="s">
        <v>13</v>
      </c>
      <c r="AV244" s="11">
        <f>AW244+AX244</f>
        <v>0</v>
      </c>
      <c r="AW244" s="11">
        <f>F244*AO244</f>
        <v>0</v>
      </c>
      <c r="AX244" s="11">
        <f>F244*AP244</f>
        <v>0</v>
      </c>
      <c r="AY244" s="14" t="s">
        <v>617</v>
      </c>
      <c r="AZ244" s="14" t="s">
        <v>627</v>
      </c>
      <c r="BA244" s="8" t="s">
        <v>629</v>
      </c>
      <c r="BC244" s="11">
        <f>AW244+AX244</f>
        <v>0</v>
      </c>
      <c r="BD244" s="11">
        <f>G244/(100-BE244)*100</f>
        <v>0</v>
      </c>
      <c r="BE244" s="11">
        <v>0</v>
      </c>
      <c r="BF244" s="11">
        <f>L244</f>
        <v>1.004612</v>
      </c>
      <c r="BH244" s="6">
        <f>F244*AO244</f>
        <v>0</v>
      </c>
      <c r="BI244" s="6">
        <f>F244*AP244</f>
        <v>0</v>
      </c>
      <c r="BJ244" s="6">
        <f>F244*G244</f>
        <v>0</v>
      </c>
      <c r="BK244" s="6" t="s">
        <v>634</v>
      </c>
      <c r="BL244" s="11">
        <v>787</v>
      </c>
    </row>
    <row r="245" spans="1:14" ht="12.75">
      <c r="A245" s="131"/>
      <c r="B245" s="132"/>
      <c r="C245" s="133" t="s">
        <v>460</v>
      </c>
      <c r="D245" s="134"/>
      <c r="E245" s="132"/>
      <c r="F245" s="135">
        <v>41.376</v>
      </c>
      <c r="G245" s="173"/>
      <c r="H245" s="132"/>
      <c r="I245" s="132"/>
      <c r="J245" s="132"/>
      <c r="K245" s="132"/>
      <c r="L245" s="132"/>
      <c r="M245" s="136"/>
      <c r="N245" s="1"/>
    </row>
    <row r="246" spans="1:14" ht="12.75">
      <c r="A246" s="131"/>
      <c r="B246" s="132"/>
      <c r="C246" s="133" t="s">
        <v>461</v>
      </c>
      <c r="D246" s="134"/>
      <c r="E246" s="132"/>
      <c r="F246" s="135">
        <v>25.582</v>
      </c>
      <c r="G246" s="173"/>
      <c r="H246" s="132"/>
      <c r="I246" s="132"/>
      <c r="J246" s="132"/>
      <c r="K246" s="132"/>
      <c r="L246" s="132"/>
      <c r="M246" s="136"/>
      <c r="N246" s="1"/>
    </row>
    <row r="247" spans="1:14" ht="12.75">
      <c r="A247" s="131"/>
      <c r="B247" s="132"/>
      <c r="C247" s="133" t="s">
        <v>430</v>
      </c>
      <c r="D247" s="134"/>
      <c r="E247" s="132"/>
      <c r="F247" s="135">
        <v>4.8</v>
      </c>
      <c r="G247" s="173"/>
      <c r="H247" s="132"/>
      <c r="I247" s="132"/>
      <c r="J247" s="132"/>
      <c r="K247" s="132"/>
      <c r="L247" s="132"/>
      <c r="M247" s="136"/>
      <c r="N247" s="1"/>
    </row>
    <row r="248" spans="1:64" ht="12.75">
      <c r="A248" s="126" t="s">
        <v>92</v>
      </c>
      <c r="B248" s="127" t="s">
        <v>230</v>
      </c>
      <c r="C248" s="242" t="s">
        <v>462</v>
      </c>
      <c r="D248" s="243"/>
      <c r="E248" s="127" t="s">
        <v>565</v>
      </c>
      <c r="F248" s="128">
        <v>15.731</v>
      </c>
      <c r="G248" s="174"/>
      <c r="H248" s="129">
        <f>F248*AO248</f>
        <v>0</v>
      </c>
      <c r="I248" s="129">
        <f>F248*AP248</f>
        <v>0</v>
      </c>
      <c r="J248" s="129">
        <f>F248*G248</f>
        <v>0</v>
      </c>
      <c r="K248" s="129">
        <v>0.02145</v>
      </c>
      <c r="L248" s="129">
        <f>F248*K248</f>
        <v>0.33742995</v>
      </c>
      <c r="M248" s="130" t="s">
        <v>593</v>
      </c>
      <c r="N248" s="1"/>
      <c r="Z248" s="11">
        <f>IF(AQ248="5",BJ248,0)</f>
        <v>0</v>
      </c>
      <c r="AB248" s="11">
        <f>IF(AQ248="1",BH248,0)</f>
        <v>0</v>
      </c>
      <c r="AC248" s="11">
        <f>IF(AQ248="1",BI248,0)</f>
        <v>0</v>
      </c>
      <c r="AD248" s="11">
        <f>IF(AQ248="7",BH248,0)</f>
        <v>0</v>
      </c>
      <c r="AE248" s="11">
        <f>IF(AQ248="7",BI248,0)</f>
        <v>0</v>
      </c>
      <c r="AF248" s="11">
        <f>IF(AQ248="2",BH248,0)</f>
        <v>0</v>
      </c>
      <c r="AG248" s="11">
        <f>IF(AQ248="2",BI248,0)</f>
        <v>0</v>
      </c>
      <c r="AH248" s="11">
        <f>IF(AQ248="0",BJ248,0)</f>
        <v>0</v>
      </c>
      <c r="AI248" s="8"/>
      <c r="AJ248" s="6">
        <f>IF(AN248=0,J248,0)</f>
        <v>0</v>
      </c>
      <c r="AK248" s="6">
        <f>IF(AN248=15,J248,0)</f>
        <v>0</v>
      </c>
      <c r="AL248" s="6">
        <f>IF(AN248=21,J248,0)</f>
        <v>0</v>
      </c>
      <c r="AN248" s="11">
        <v>21</v>
      </c>
      <c r="AO248" s="11">
        <f>G248*0.775072175500801</f>
        <v>0</v>
      </c>
      <c r="AP248" s="11">
        <f>G248*(1-0.775072175500801)</f>
        <v>0</v>
      </c>
      <c r="AQ248" s="12" t="s">
        <v>13</v>
      </c>
      <c r="AV248" s="11">
        <f>AW248+AX248</f>
        <v>0</v>
      </c>
      <c r="AW248" s="11">
        <f>F248*AO248</f>
        <v>0</v>
      </c>
      <c r="AX248" s="11">
        <f>F248*AP248</f>
        <v>0</v>
      </c>
      <c r="AY248" s="14" t="s">
        <v>617</v>
      </c>
      <c r="AZ248" s="14" t="s">
        <v>627</v>
      </c>
      <c r="BA248" s="8" t="s">
        <v>629</v>
      </c>
      <c r="BC248" s="11">
        <f>AW248+AX248</f>
        <v>0</v>
      </c>
      <c r="BD248" s="11">
        <f>G248/(100-BE248)*100</f>
        <v>0</v>
      </c>
      <c r="BE248" s="11">
        <v>0</v>
      </c>
      <c r="BF248" s="11">
        <f>L248</f>
        <v>0.33742995</v>
      </c>
      <c r="BH248" s="6">
        <f>F248*AO248</f>
        <v>0</v>
      </c>
      <c r="BI248" s="6">
        <f>F248*AP248</f>
        <v>0</v>
      </c>
      <c r="BJ248" s="6">
        <f>F248*G248</f>
        <v>0</v>
      </c>
      <c r="BK248" s="6" t="s">
        <v>634</v>
      </c>
      <c r="BL248" s="11">
        <v>787</v>
      </c>
    </row>
    <row r="249" spans="1:14" ht="12.75">
      <c r="A249" s="131"/>
      <c r="B249" s="132"/>
      <c r="C249" s="133" t="s">
        <v>463</v>
      </c>
      <c r="D249" s="134"/>
      <c r="E249" s="132"/>
      <c r="F249" s="135">
        <v>10.931</v>
      </c>
      <c r="G249" s="173"/>
      <c r="H249" s="132"/>
      <c r="I249" s="132"/>
      <c r="J249" s="132"/>
      <c r="K249" s="132"/>
      <c r="L249" s="132"/>
      <c r="M249" s="136"/>
      <c r="N249" s="1"/>
    </row>
    <row r="250" spans="1:14" ht="12.75">
      <c r="A250" s="131"/>
      <c r="B250" s="132"/>
      <c r="C250" s="133" t="s">
        <v>430</v>
      </c>
      <c r="D250" s="134"/>
      <c r="E250" s="132"/>
      <c r="F250" s="135">
        <v>4.8</v>
      </c>
      <c r="G250" s="173"/>
      <c r="H250" s="132"/>
      <c r="I250" s="132"/>
      <c r="J250" s="132"/>
      <c r="K250" s="132"/>
      <c r="L250" s="132"/>
      <c r="M250" s="136"/>
      <c r="N250" s="1"/>
    </row>
    <row r="251" spans="1:64" ht="12.75">
      <c r="A251" s="145" t="s">
        <v>93</v>
      </c>
      <c r="B251" s="146" t="s">
        <v>231</v>
      </c>
      <c r="C251" s="253" t="s">
        <v>464</v>
      </c>
      <c r="D251" s="254"/>
      <c r="E251" s="146" t="s">
        <v>565</v>
      </c>
      <c r="F251" s="147">
        <v>15.731</v>
      </c>
      <c r="G251" s="172"/>
      <c r="H251" s="148">
        <f>F251*AO251</f>
        <v>0</v>
      </c>
      <c r="I251" s="148">
        <f>F251*AP251</f>
        <v>0</v>
      </c>
      <c r="J251" s="148">
        <f>F251*G251</f>
        <v>0</v>
      </c>
      <c r="K251" s="148">
        <v>0.019</v>
      </c>
      <c r="L251" s="148">
        <f>F251*K251</f>
        <v>0.298889</v>
      </c>
      <c r="M251" s="149" t="s">
        <v>593</v>
      </c>
      <c r="N251" s="1"/>
      <c r="Z251" s="11">
        <f>IF(AQ251="5",BJ251,0)</f>
        <v>0</v>
      </c>
      <c r="AB251" s="11">
        <f>IF(AQ251="1",BH251,0)</f>
        <v>0</v>
      </c>
      <c r="AC251" s="11">
        <f>IF(AQ251="1",BI251,0)</f>
        <v>0</v>
      </c>
      <c r="AD251" s="11">
        <f>IF(AQ251="7",BH251,0)</f>
        <v>0</v>
      </c>
      <c r="AE251" s="11">
        <f>IF(AQ251="7",BI251,0)</f>
        <v>0</v>
      </c>
      <c r="AF251" s="11">
        <f>IF(AQ251="2",BH251,0)</f>
        <v>0</v>
      </c>
      <c r="AG251" s="11">
        <f>IF(AQ251="2",BI251,0)</f>
        <v>0</v>
      </c>
      <c r="AH251" s="11">
        <f>IF(AQ251="0",BJ251,0)</f>
        <v>0</v>
      </c>
      <c r="AI251" s="8"/>
      <c r="AJ251" s="7">
        <f>IF(AN251=0,J251,0)</f>
        <v>0</v>
      </c>
      <c r="AK251" s="7">
        <f>IF(AN251=15,J251,0)</f>
        <v>0</v>
      </c>
      <c r="AL251" s="7">
        <f>IF(AN251=21,J251,0)</f>
        <v>0</v>
      </c>
      <c r="AN251" s="11">
        <v>21</v>
      </c>
      <c r="AO251" s="11">
        <f>G251*1</f>
        <v>0</v>
      </c>
      <c r="AP251" s="11">
        <f>G251*(1-1)</f>
        <v>0</v>
      </c>
      <c r="AQ251" s="13" t="s">
        <v>13</v>
      </c>
      <c r="AV251" s="11">
        <f>AW251+AX251</f>
        <v>0</v>
      </c>
      <c r="AW251" s="11">
        <f>F251*AO251</f>
        <v>0</v>
      </c>
      <c r="AX251" s="11">
        <f>F251*AP251</f>
        <v>0</v>
      </c>
      <c r="AY251" s="14" t="s">
        <v>617</v>
      </c>
      <c r="AZ251" s="14" t="s">
        <v>627</v>
      </c>
      <c r="BA251" s="8" t="s">
        <v>629</v>
      </c>
      <c r="BC251" s="11">
        <f>AW251+AX251</f>
        <v>0</v>
      </c>
      <c r="BD251" s="11">
        <f>G251/(100-BE251)*100</f>
        <v>0</v>
      </c>
      <c r="BE251" s="11">
        <v>0</v>
      </c>
      <c r="BF251" s="11">
        <f>L251</f>
        <v>0.298889</v>
      </c>
      <c r="BH251" s="7">
        <f>F251*AO251</f>
        <v>0</v>
      </c>
      <c r="BI251" s="7">
        <f>F251*AP251</f>
        <v>0</v>
      </c>
      <c r="BJ251" s="7">
        <f>F251*G251</f>
        <v>0</v>
      </c>
      <c r="BK251" s="7" t="s">
        <v>635</v>
      </c>
      <c r="BL251" s="11">
        <v>787</v>
      </c>
    </row>
    <row r="252" spans="1:14" ht="12.75">
      <c r="A252" s="131"/>
      <c r="B252" s="132"/>
      <c r="C252" s="133" t="s">
        <v>465</v>
      </c>
      <c r="D252" s="134"/>
      <c r="E252" s="132"/>
      <c r="F252" s="135">
        <v>15.731</v>
      </c>
      <c r="G252" s="173"/>
      <c r="H252" s="132"/>
      <c r="I252" s="132"/>
      <c r="J252" s="132"/>
      <c r="K252" s="132"/>
      <c r="L252" s="132"/>
      <c r="M252" s="136"/>
      <c r="N252" s="1"/>
    </row>
    <row r="253" spans="1:14" ht="12.75">
      <c r="A253" s="131"/>
      <c r="B253" s="144" t="s">
        <v>132</v>
      </c>
      <c r="C253" s="258" t="s">
        <v>466</v>
      </c>
      <c r="D253" s="259"/>
      <c r="E253" s="259"/>
      <c r="F253" s="259"/>
      <c r="G253" s="259"/>
      <c r="H253" s="259"/>
      <c r="I253" s="259"/>
      <c r="J253" s="259"/>
      <c r="K253" s="259"/>
      <c r="L253" s="259"/>
      <c r="M253" s="260"/>
      <c r="N253" s="1"/>
    </row>
    <row r="254" spans="1:64" ht="12.75">
      <c r="A254" s="126" t="s">
        <v>94</v>
      </c>
      <c r="B254" s="127" t="s">
        <v>232</v>
      </c>
      <c r="C254" s="242" t="s">
        <v>467</v>
      </c>
      <c r="D254" s="243"/>
      <c r="E254" s="127" t="s">
        <v>565</v>
      </c>
      <c r="F254" s="128">
        <v>34.901</v>
      </c>
      <c r="G254" s="174"/>
      <c r="H254" s="129">
        <f>F254*AO254</f>
        <v>0</v>
      </c>
      <c r="I254" s="129">
        <f>F254*AP254</f>
        <v>0</v>
      </c>
      <c r="J254" s="129">
        <f>F254*G254</f>
        <v>0</v>
      </c>
      <c r="K254" s="129">
        <v>0.00134</v>
      </c>
      <c r="L254" s="129">
        <f>F254*K254</f>
        <v>0.046767340000000004</v>
      </c>
      <c r="M254" s="130" t="s">
        <v>593</v>
      </c>
      <c r="N254" s="1"/>
      <c r="Z254" s="11">
        <f>IF(AQ254="5",BJ254,0)</f>
        <v>0</v>
      </c>
      <c r="AB254" s="11">
        <f>IF(AQ254="1",BH254,0)</f>
        <v>0</v>
      </c>
      <c r="AC254" s="11">
        <f>IF(AQ254="1",BI254,0)</f>
        <v>0</v>
      </c>
      <c r="AD254" s="11">
        <f>IF(AQ254="7",BH254,0)</f>
        <v>0</v>
      </c>
      <c r="AE254" s="11">
        <f>IF(AQ254="7",BI254,0)</f>
        <v>0</v>
      </c>
      <c r="AF254" s="11">
        <f>IF(AQ254="2",BH254,0)</f>
        <v>0</v>
      </c>
      <c r="AG254" s="11">
        <f>IF(AQ254="2",BI254,0)</f>
        <v>0</v>
      </c>
      <c r="AH254" s="11">
        <f>IF(AQ254="0",BJ254,0)</f>
        <v>0</v>
      </c>
      <c r="AI254" s="8"/>
      <c r="AJ254" s="6">
        <f>IF(AN254=0,J254,0)</f>
        <v>0</v>
      </c>
      <c r="AK254" s="6">
        <f>IF(AN254=15,J254,0)</f>
        <v>0</v>
      </c>
      <c r="AL254" s="6">
        <f>IF(AN254=21,J254,0)</f>
        <v>0</v>
      </c>
      <c r="AN254" s="11">
        <v>21</v>
      </c>
      <c r="AO254" s="11">
        <f>G254*0.716676970296639</f>
        <v>0</v>
      </c>
      <c r="AP254" s="11">
        <f>G254*(1-0.716676970296639)</f>
        <v>0</v>
      </c>
      <c r="AQ254" s="12" t="s">
        <v>13</v>
      </c>
      <c r="AV254" s="11">
        <f>AW254+AX254</f>
        <v>0</v>
      </c>
      <c r="AW254" s="11">
        <f>F254*AO254</f>
        <v>0</v>
      </c>
      <c r="AX254" s="11">
        <f>F254*AP254</f>
        <v>0</v>
      </c>
      <c r="AY254" s="14" t="s">
        <v>617</v>
      </c>
      <c r="AZ254" s="14" t="s">
        <v>627</v>
      </c>
      <c r="BA254" s="8" t="s">
        <v>629</v>
      </c>
      <c r="BC254" s="11">
        <f>AW254+AX254</f>
        <v>0</v>
      </c>
      <c r="BD254" s="11">
        <f>G254/(100-BE254)*100</f>
        <v>0</v>
      </c>
      <c r="BE254" s="11">
        <v>0</v>
      </c>
      <c r="BF254" s="11">
        <f>L254</f>
        <v>0.046767340000000004</v>
      </c>
      <c r="BH254" s="6">
        <f>F254*AO254</f>
        <v>0</v>
      </c>
      <c r="BI254" s="6">
        <f>F254*AP254</f>
        <v>0</v>
      </c>
      <c r="BJ254" s="6">
        <f>F254*G254</f>
        <v>0</v>
      </c>
      <c r="BK254" s="6" t="s">
        <v>634</v>
      </c>
      <c r="BL254" s="11">
        <v>787</v>
      </c>
    </row>
    <row r="255" spans="1:14" ht="12.75">
      <c r="A255" s="131"/>
      <c r="B255" s="132"/>
      <c r="C255" s="133" t="s">
        <v>468</v>
      </c>
      <c r="D255" s="134"/>
      <c r="E255" s="132"/>
      <c r="F255" s="135">
        <v>34.901</v>
      </c>
      <c r="G255" s="173"/>
      <c r="H255" s="132"/>
      <c r="I255" s="132"/>
      <c r="J255" s="132"/>
      <c r="K255" s="132"/>
      <c r="L255" s="132"/>
      <c r="M255" s="136"/>
      <c r="N255" s="1"/>
    </row>
    <row r="256" spans="1:64" ht="12.75">
      <c r="A256" s="145" t="s">
        <v>95</v>
      </c>
      <c r="B256" s="146" t="s">
        <v>233</v>
      </c>
      <c r="C256" s="253" t="s">
        <v>469</v>
      </c>
      <c r="D256" s="254"/>
      <c r="E256" s="146" t="s">
        <v>565</v>
      </c>
      <c r="F256" s="147">
        <v>34.901</v>
      </c>
      <c r="G256" s="172"/>
      <c r="H256" s="148">
        <f>F256*AO256</f>
        <v>0</v>
      </c>
      <c r="I256" s="148">
        <f>F256*AP256</f>
        <v>0</v>
      </c>
      <c r="J256" s="148">
        <f>F256*G256</f>
        <v>0</v>
      </c>
      <c r="K256" s="148">
        <v>0.016</v>
      </c>
      <c r="L256" s="148">
        <f>F256*K256</f>
        <v>0.558416</v>
      </c>
      <c r="M256" s="149" t="s">
        <v>593</v>
      </c>
      <c r="N256" s="1"/>
      <c r="Z256" s="11">
        <f>IF(AQ256="5",BJ256,0)</f>
        <v>0</v>
      </c>
      <c r="AB256" s="11">
        <f>IF(AQ256="1",BH256,0)</f>
        <v>0</v>
      </c>
      <c r="AC256" s="11">
        <f>IF(AQ256="1",BI256,0)</f>
        <v>0</v>
      </c>
      <c r="AD256" s="11">
        <f>IF(AQ256="7",BH256,0)</f>
        <v>0</v>
      </c>
      <c r="AE256" s="11">
        <f>IF(AQ256="7",BI256,0)</f>
        <v>0</v>
      </c>
      <c r="AF256" s="11">
        <f>IF(AQ256="2",BH256,0)</f>
        <v>0</v>
      </c>
      <c r="AG256" s="11">
        <f>IF(AQ256="2",BI256,0)</f>
        <v>0</v>
      </c>
      <c r="AH256" s="11">
        <f>IF(AQ256="0",BJ256,0)</f>
        <v>0</v>
      </c>
      <c r="AI256" s="8"/>
      <c r="AJ256" s="7">
        <f>IF(AN256=0,J256,0)</f>
        <v>0</v>
      </c>
      <c r="AK256" s="7">
        <f>IF(AN256=15,J256,0)</f>
        <v>0</v>
      </c>
      <c r="AL256" s="7">
        <f>IF(AN256=21,J256,0)</f>
        <v>0</v>
      </c>
      <c r="AN256" s="11">
        <v>21</v>
      </c>
      <c r="AO256" s="11">
        <f>G256*1</f>
        <v>0</v>
      </c>
      <c r="AP256" s="11">
        <f>G256*(1-1)</f>
        <v>0</v>
      </c>
      <c r="AQ256" s="13" t="s">
        <v>13</v>
      </c>
      <c r="AV256" s="11">
        <f>AW256+AX256</f>
        <v>0</v>
      </c>
      <c r="AW256" s="11">
        <f>F256*AO256</f>
        <v>0</v>
      </c>
      <c r="AX256" s="11">
        <f>F256*AP256</f>
        <v>0</v>
      </c>
      <c r="AY256" s="14" t="s">
        <v>617</v>
      </c>
      <c r="AZ256" s="14" t="s">
        <v>627</v>
      </c>
      <c r="BA256" s="8" t="s">
        <v>629</v>
      </c>
      <c r="BC256" s="11">
        <f>AW256+AX256</f>
        <v>0</v>
      </c>
      <c r="BD256" s="11">
        <f>G256/(100-BE256)*100</f>
        <v>0</v>
      </c>
      <c r="BE256" s="11">
        <v>0</v>
      </c>
      <c r="BF256" s="11">
        <f>L256</f>
        <v>0.558416</v>
      </c>
      <c r="BH256" s="7">
        <f>F256*AO256</f>
        <v>0</v>
      </c>
      <c r="BI256" s="7">
        <f>F256*AP256</f>
        <v>0</v>
      </c>
      <c r="BJ256" s="7">
        <f>F256*G256</f>
        <v>0</v>
      </c>
      <c r="BK256" s="7" t="s">
        <v>635</v>
      </c>
      <c r="BL256" s="11">
        <v>787</v>
      </c>
    </row>
    <row r="257" spans="1:14" ht="12.75">
      <c r="A257" s="131"/>
      <c r="B257" s="132"/>
      <c r="C257" s="133" t="s">
        <v>470</v>
      </c>
      <c r="D257" s="134"/>
      <c r="E257" s="132"/>
      <c r="F257" s="135">
        <v>34.901</v>
      </c>
      <c r="G257" s="173"/>
      <c r="H257" s="132"/>
      <c r="I257" s="132"/>
      <c r="J257" s="132"/>
      <c r="K257" s="132"/>
      <c r="L257" s="132"/>
      <c r="M257" s="136"/>
      <c r="N257" s="1"/>
    </row>
    <row r="258" spans="1:64" ht="12.75">
      <c r="A258" s="126" t="s">
        <v>96</v>
      </c>
      <c r="B258" s="127" t="s">
        <v>232</v>
      </c>
      <c r="C258" s="242" t="s">
        <v>467</v>
      </c>
      <c r="D258" s="243"/>
      <c r="E258" s="127" t="s">
        <v>565</v>
      </c>
      <c r="F258" s="128">
        <v>21.152</v>
      </c>
      <c r="G258" s="174"/>
      <c r="H258" s="129">
        <f>F258*AO258</f>
        <v>0</v>
      </c>
      <c r="I258" s="129">
        <f>F258*AP258</f>
        <v>0</v>
      </c>
      <c r="J258" s="129">
        <f>F258*G258</f>
        <v>0</v>
      </c>
      <c r="K258" s="129">
        <v>0.00134</v>
      </c>
      <c r="L258" s="129">
        <f>F258*K258</f>
        <v>0.028343680000000003</v>
      </c>
      <c r="M258" s="130" t="s">
        <v>593</v>
      </c>
      <c r="N258" s="1"/>
      <c r="Z258" s="11">
        <f>IF(AQ258="5",BJ258,0)</f>
        <v>0</v>
      </c>
      <c r="AB258" s="11">
        <f>IF(AQ258="1",BH258,0)</f>
        <v>0</v>
      </c>
      <c r="AC258" s="11">
        <f>IF(AQ258="1",BI258,0)</f>
        <v>0</v>
      </c>
      <c r="AD258" s="11">
        <f>IF(AQ258="7",BH258,0)</f>
        <v>0</v>
      </c>
      <c r="AE258" s="11">
        <f>IF(AQ258="7",BI258,0)</f>
        <v>0</v>
      </c>
      <c r="AF258" s="11">
        <f>IF(AQ258="2",BH258,0)</f>
        <v>0</v>
      </c>
      <c r="AG258" s="11">
        <f>IF(AQ258="2",BI258,0)</f>
        <v>0</v>
      </c>
      <c r="AH258" s="11">
        <f>IF(AQ258="0",BJ258,0)</f>
        <v>0</v>
      </c>
      <c r="AI258" s="8"/>
      <c r="AJ258" s="6">
        <f>IF(AN258=0,J258,0)</f>
        <v>0</v>
      </c>
      <c r="AK258" s="6">
        <f>IF(AN258=15,J258,0)</f>
        <v>0</v>
      </c>
      <c r="AL258" s="6">
        <f>IF(AN258=21,J258,0)</f>
        <v>0</v>
      </c>
      <c r="AN258" s="11">
        <v>21</v>
      </c>
      <c r="AO258" s="11">
        <f>G258*0.71667666840908</f>
        <v>0</v>
      </c>
      <c r="AP258" s="11">
        <f>G258*(1-0.71667666840908)</f>
        <v>0</v>
      </c>
      <c r="AQ258" s="12" t="s">
        <v>13</v>
      </c>
      <c r="AV258" s="11">
        <f>AW258+AX258</f>
        <v>0</v>
      </c>
      <c r="AW258" s="11">
        <f>F258*AO258</f>
        <v>0</v>
      </c>
      <c r="AX258" s="11">
        <f>F258*AP258</f>
        <v>0</v>
      </c>
      <c r="AY258" s="14" t="s">
        <v>617</v>
      </c>
      <c r="AZ258" s="14" t="s">
        <v>627</v>
      </c>
      <c r="BA258" s="8" t="s">
        <v>629</v>
      </c>
      <c r="BC258" s="11">
        <f>AW258+AX258</f>
        <v>0</v>
      </c>
      <c r="BD258" s="11">
        <f>G258/(100-BE258)*100</f>
        <v>0</v>
      </c>
      <c r="BE258" s="11">
        <v>0</v>
      </c>
      <c r="BF258" s="11">
        <f>L258</f>
        <v>0.028343680000000003</v>
      </c>
      <c r="BH258" s="6">
        <f>F258*AO258</f>
        <v>0</v>
      </c>
      <c r="BI258" s="6">
        <f>F258*AP258</f>
        <v>0</v>
      </c>
      <c r="BJ258" s="6">
        <f>F258*G258</f>
        <v>0</v>
      </c>
      <c r="BK258" s="6" t="s">
        <v>634</v>
      </c>
      <c r="BL258" s="11">
        <v>787</v>
      </c>
    </row>
    <row r="259" spans="1:14" ht="12.75">
      <c r="A259" s="131"/>
      <c r="B259" s="132"/>
      <c r="C259" s="133" t="s">
        <v>471</v>
      </c>
      <c r="D259" s="134" t="s">
        <v>556</v>
      </c>
      <c r="E259" s="132"/>
      <c r="F259" s="135">
        <v>21.152</v>
      </c>
      <c r="G259" s="173"/>
      <c r="H259" s="132"/>
      <c r="I259" s="132"/>
      <c r="J259" s="132"/>
      <c r="K259" s="132"/>
      <c r="L259" s="132"/>
      <c r="M259" s="136"/>
      <c r="N259" s="1"/>
    </row>
    <row r="260" spans="1:64" ht="12.75">
      <c r="A260" s="145" t="s">
        <v>97</v>
      </c>
      <c r="B260" s="146" t="s">
        <v>233</v>
      </c>
      <c r="C260" s="253" t="s">
        <v>469</v>
      </c>
      <c r="D260" s="254"/>
      <c r="E260" s="146" t="s">
        <v>565</v>
      </c>
      <c r="F260" s="147">
        <v>21.152</v>
      </c>
      <c r="G260" s="172"/>
      <c r="H260" s="148">
        <f>F260*AO260</f>
        <v>0</v>
      </c>
      <c r="I260" s="148">
        <f>F260*AP260</f>
        <v>0</v>
      </c>
      <c r="J260" s="148">
        <f>F260*G260</f>
        <v>0</v>
      </c>
      <c r="K260" s="148">
        <v>0.016</v>
      </c>
      <c r="L260" s="148">
        <f>F260*K260</f>
        <v>0.338432</v>
      </c>
      <c r="M260" s="149" t="s">
        <v>593</v>
      </c>
      <c r="N260" s="1"/>
      <c r="Z260" s="11">
        <f>IF(AQ260="5",BJ260,0)</f>
        <v>0</v>
      </c>
      <c r="AB260" s="11">
        <f>IF(AQ260="1",BH260,0)</f>
        <v>0</v>
      </c>
      <c r="AC260" s="11">
        <f>IF(AQ260="1",BI260,0)</f>
        <v>0</v>
      </c>
      <c r="AD260" s="11">
        <f>IF(AQ260="7",BH260,0)</f>
        <v>0</v>
      </c>
      <c r="AE260" s="11">
        <f>IF(AQ260="7",BI260,0)</f>
        <v>0</v>
      </c>
      <c r="AF260" s="11">
        <f>IF(AQ260="2",BH260,0)</f>
        <v>0</v>
      </c>
      <c r="AG260" s="11">
        <f>IF(AQ260="2",BI260,0)</f>
        <v>0</v>
      </c>
      <c r="AH260" s="11">
        <f>IF(AQ260="0",BJ260,0)</f>
        <v>0</v>
      </c>
      <c r="AI260" s="8"/>
      <c r="AJ260" s="7">
        <f>IF(AN260=0,J260,0)</f>
        <v>0</v>
      </c>
      <c r="AK260" s="7">
        <f>IF(AN260=15,J260,0)</f>
        <v>0</v>
      </c>
      <c r="AL260" s="7">
        <f>IF(AN260=21,J260,0)</f>
        <v>0</v>
      </c>
      <c r="AN260" s="11">
        <v>21</v>
      </c>
      <c r="AO260" s="11">
        <f>G260*1</f>
        <v>0</v>
      </c>
      <c r="AP260" s="11">
        <f>G260*(1-1)</f>
        <v>0</v>
      </c>
      <c r="AQ260" s="13" t="s">
        <v>13</v>
      </c>
      <c r="AV260" s="11">
        <f>AW260+AX260</f>
        <v>0</v>
      </c>
      <c r="AW260" s="11">
        <f>F260*AO260</f>
        <v>0</v>
      </c>
      <c r="AX260" s="11">
        <f>F260*AP260</f>
        <v>0</v>
      </c>
      <c r="AY260" s="14" t="s">
        <v>617</v>
      </c>
      <c r="AZ260" s="14" t="s">
        <v>627</v>
      </c>
      <c r="BA260" s="8" t="s">
        <v>629</v>
      </c>
      <c r="BC260" s="11">
        <f>AW260+AX260</f>
        <v>0</v>
      </c>
      <c r="BD260" s="11">
        <f>G260/(100-BE260)*100</f>
        <v>0</v>
      </c>
      <c r="BE260" s="11">
        <v>0</v>
      </c>
      <c r="BF260" s="11">
        <f>L260</f>
        <v>0.338432</v>
      </c>
      <c r="BH260" s="7">
        <f>F260*AO260</f>
        <v>0</v>
      </c>
      <c r="BI260" s="7">
        <f>F260*AP260</f>
        <v>0</v>
      </c>
      <c r="BJ260" s="7">
        <f>F260*G260</f>
        <v>0</v>
      </c>
      <c r="BK260" s="7" t="s">
        <v>635</v>
      </c>
      <c r="BL260" s="11">
        <v>787</v>
      </c>
    </row>
    <row r="261" spans="1:14" ht="12.75">
      <c r="A261" s="131"/>
      <c r="B261" s="132"/>
      <c r="C261" s="133" t="s">
        <v>472</v>
      </c>
      <c r="D261" s="134"/>
      <c r="E261" s="132"/>
      <c r="F261" s="135">
        <v>21.152</v>
      </c>
      <c r="G261" s="173"/>
      <c r="H261" s="132"/>
      <c r="I261" s="132"/>
      <c r="J261" s="132"/>
      <c r="K261" s="132"/>
      <c r="L261" s="132"/>
      <c r="M261" s="136"/>
      <c r="N261" s="1"/>
    </row>
    <row r="262" spans="1:64" ht="12.75">
      <c r="A262" s="126" t="s">
        <v>98</v>
      </c>
      <c r="B262" s="127" t="s">
        <v>234</v>
      </c>
      <c r="C262" s="242" t="s">
        <v>473</v>
      </c>
      <c r="D262" s="243"/>
      <c r="E262" s="127" t="s">
        <v>568</v>
      </c>
      <c r="F262" s="128">
        <v>2.613</v>
      </c>
      <c r="G262" s="174"/>
      <c r="H262" s="129">
        <f>F262*AO262</f>
        <v>0</v>
      </c>
      <c r="I262" s="129">
        <f>F262*AP262</f>
        <v>0</v>
      </c>
      <c r="J262" s="129">
        <f>F262*G262</f>
        <v>0</v>
      </c>
      <c r="K262" s="129">
        <v>0</v>
      </c>
      <c r="L262" s="129">
        <f>F262*K262</f>
        <v>0</v>
      </c>
      <c r="M262" s="130" t="s">
        <v>593</v>
      </c>
      <c r="N262" s="1"/>
      <c r="Z262" s="11">
        <f>IF(AQ262="5",BJ262,0)</f>
        <v>0</v>
      </c>
      <c r="AB262" s="11">
        <f>IF(AQ262="1",BH262,0)</f>
        <v>0</v>
      </c>
      <c r="AC262" s="11">
        <f>IF(AQ262="1",BI262,0)</f>
        <v>0</v>
      </c>
      <c r="AD262" s="11">
        <f>IF(AQ262="7",BH262,0)</f>
        <v>0</v>
      </c>
      <c r="AE262" s="11">
        <f>IF(AQ262="7",BI262,0)</f>
        <v>0</v>
      </c>
      <c r="AF262" s="11">
        <f>IF(AQ262="2",BH262,0)</f>
        <v>0</v>
      </c>
      <c r="AG262" s="11">
        <f>IF(AQ262="2",BI262,0)</f>
        <v>0</v>
      </c>
      <c r="AH262" s="11">
        <f>IF(AQ262="0",BJ262,0)</f>
        <v>0</v>
      </c>
      <c r="AI262" s="8"/>
      <c r="AJ262" s="6">
        <f>IF(AN262=0,J262,0)</f>
        <v>0</v>
      </c>
      <c r="AK262" s="6">
        <f>IF(AN262=15,J262,0)</f>
        <v>0</v>
      </c>
      <c r="AL262" s="6">
        <f>IF(AN262=21,J262,0)</f>
        <v>0</v>
      </c>
      <c r="AN262" s="11">
        <v>21</v>
      </c>
      <c r="AO262" s="11">
        <f>G262*0</f>
        <v>0</v>
      </c>
      <c r="AP262" s="11">
        <f>G262*(1-0)</f>
        <v>0</v>
      </c>
      <c r="AQ262" s="12" t="s">
        <v>11</v>
      </c>
      <c r="AV262" s="11">
        <f>AW262+AX262</f>
        <v>0</v>
      </c>
      <c r="AW262" s="11">
        <f>F262*AO262</f>
        <v>0</v>
      </c>
      <c r="AX262" s="11">
        <f>F262*AP262</f>
        <v>0</v>
      </c>
      <c r="AY262" s="14" t="s">
        <v>617</v>
      </c>
      <c r="AZ262" s="14" t="s">
        <v>627</v>
      </c>
      <c r="BA262" s="8" t="s">
        <v>629</v>
      </c>
      <c r="BC262" s="11">
        <f>AW262+AX262</f>
        <v>0</v>
      </c>
      <c r="BD262" s="11">
        <f>G262/(100-BE262)*100</f>
        <v>0</v>
      </c>
      <c r="BE262" s="11">
        <v>0</v>
      </c>
      <c r="BF262" s="11">
        <f>L262</f>
        <v>0</v>
      </c>
      <c r="BH262" s="6">
        <f>F262*AO262</f>
        <v>0</v>
      </c>
      <c r="BI262" s="6">
        <f>F262*AP262</f>
        <v>0</v>
      </c>
      <c r="BJ262" s="6">
        <f>F262*G262</f>
        <v>0</v>
      </c>
      <c r="BK262" s="6" t="s">
        <v>634</v>
      </c>
      <c r="BL262" s="11">
        <v>787</v>
      </c>
    </row>
    <row r="263" spans="1:47" ht="12.75">
      <c r="A263" s="137"/>
      <c r="B263" s="138" t="s">
        <v>100</v>
      </c>
      <c r="C263" s="244" t="s">
        <v>474</v>
      </c>
      <c r="D263" s="245"/>
      <c r="E263" s="139" t="s">
        <v>6</v>
      </c>
      <c r="F263" s="139" t="s">
        <v>6</v>
      </c>
      <c r="G263" s="139" t="s">
        <v>6</v>
      </c>
      <c r="H263" s="140">
        <f>SUM(H264:H279)</f>
        <v>0</v>
      </c>
      <c r="I263" s="140">
        <f>SUM(I264:I279)</f>
        <v>0</v>
      </c>
      <c r="J263" s="140">
        <f>SUM(J264:J279)</f>
        <v>0</v>
      </c>
      <c r="K263" s="141"/>
      <c r="L263" s="140">
        <f>SUM(L264:L279)</f>
        <v>0</v>
      </c>
      <c r="M263" s="142"/>
      <c r="N263" s="1"/>
      <c r="AI263" s="8"/>
      <c r="AS263" s="16">
        <f>SUM(AJ264:AJ279)</f>
        <v>0</v>
      </c>
      <c r="AT263" s="16">
        <f>SUM(AK264:AK279)</f>
        <v>0</v>
      </c>
      <c r="AU263" s="16">
        <f>SUM(AL264:AL279)</f>
        <v>0</v>
      </c>
    </row>
    <row r="264" spans="1:64" ht="12.75">
      <c r="A264" s="126" t="s">
        <v>99</v>
      </c>
      <c r="B264" s="127" t="s">
        <v>235</v>
      </c>
      <c r="C264" s="242" t="s">
        <v>475</v>
      </c>
      <c r="D264" s="243"/>
      <c r="E264" s="127" t="s">
        <v>571</v>
      </c>
      <c r="F264" s="128">
        <v>122</v>
      </c>
      <c r="G264" s="174"/>
      <c r="H264" s="129">
        <f>F264*AO264</f>
        <v>0</v>
      </c>
      <c r="I264" s="129">
        <f>F264*AP264</f>
        <v>0</v>
      </c>
      <c r="J264" s="129">
        <f>F264*G264</f>
        <v>0</v>
      </c>
      <c r="K264" s="129">
        <v>0</v>
      </c>
      <c r="L264" s="129">
        <f>F264*K264</f>
        <v>0</v>
      </c>
      <c r="M264" s="130" t="s">
        <v>593</v>
      </c>
      <c r="N264" s="1"/>
      <c r="Z264" s="11">
        <f>IF(AQ264="5",BJ264,0)</f>
        <v>0</v>
      </c>
      <c r="AB264" s="11">
        <f>IF(AQ264="1",BH264,0)</f>
        <v>0</v>
      </c>
      <c r="AC264" s="11">
        <f>IF(AQ264="1",BI264,0)</f>
        <v>0</v>
      </c>
      <c r="AD264" s="11">
        <f>IF(AQ264="7",BH264,0)</f>
        <v>0</v>
      </c>
      <c r="AE264" s="11">
        <f>IF(AQ264="7",BI264,0)</f>
        <v>0</v>
      </c>
      <c r="AF264" s="11">
        <f>IF(AQ264="2",BH264,0)</f>
        <v>0</v>
      </c>
      <c r="AG264" s="11">
        <f>IF(AQ264="2",BI264,0)</f>
        <v>0</v>
      </c>
      <c r="AH264" s="11">
        <f>IF(AQ264="0",BJ264,0)</f>
        <v>0</v>
      </c>
      <c r="AI264" s="8"/>
      <c r="AJ264" s="6">
        <f>IF(AN264=0,J264,0)</f>
        <v>0</v>
      </c>
      <c r="AK264" s="6">
        <f>IF(AN264=15,J264,0)</f>
        <v>0</v>
      </c>
      <c r="AL264" s="6">
        <f>IF(AN264=21,J264,0)</f>
        <v>0</v>
      </c>
      <c r="AN264" s="11">
        <v>21</v>
      </c>
      <c r="AO264" s="11">
        <f>G264*0.147727272727273</f>
        <v>0</v>
      </c>
      <c r="AP264" s="11">
        <f>G264*(1-0.147727272727273)</f>
        <v>0</v>
      </c>
      <c r="AQ264" s="12" t="s">
        <v>7</v>
      </c>
      <c r="AV264" s="11">
        <f>AW264+AX264</f>
        <v>0</v>
      </c>
      <c r="AW264" s="11">
        <f>F264*AO264</f>
        <v>0</v>
      </c>
      <c r="AX264" s="11">
        <f>F264*AP264</f>
        <v>0</v>
      </c>
      <c r="AY264" s="14" t="s">
        <v>618</v>
      </c>
      <c r="AZ264" s="14" t="s">
        <v>628</v>
      </c>
      <c r="BA264" s="8" t="s">
        <v>629</v>
      </c>
      <c r="BC264" s="11">
        <f>AW264+AX264</f>
        <v>0</v>
      </c>
      <c r="BD264" s="11">
        <f>G264/(100-BE264)*100</f>
        <v>0</v>
      </c>
      <c r="BE264" s="11">
        <v>0</v>
      </c>
      <c r="BF264" s="11">
        <f>L264</f>
        <v>0</v>
      </c>
      <c r="BH264" s="6">
        <f>F264*AO264</f>
        <v>0</v>
      </c>
      <c r="BI264" s="6">
        <f>F264*AP264</f>
        <v>0</v>
      </c>
      <c r="BJ264" s="6">
        <f>F264*G264</f>
        <v>0</v>
      </c>
      <c r="BK264" s="6" t="s">
        <v>634</v>
      </c>
      <c r="BL264" s="11">
        <v>94</v>
      </c>
    </row>
    <row r="265" spans="1:14" ht="12.75">
      <c r="A265" s="131"/>
      <c r="B265" s="132"/>
      <c r="C265" s="133" t="s">
        <v>128</v>
      </c>
      <c r="D265" s="134"/>
      <c r="E265" s="132"/>
      <c r="F265" s="135">
        <v>122</v>
      </c>
      <c r="G265" s="173"/>
      <c r="H265" s="132"/>
      <c r="I265" s="132"/>
      <c r="J265" s="132"/>
      <c r="K265" s="132"/>
      <c r="L265" s="132"/>
      <c r="M265" s="136"/>
      <c r="N265" s="1"/>
    </row>
    <row r="266" spans="1:64" ht="12.75">
      <c r="A266" s="126" t="s">
        <v>100</v>
      </c>
      <c r="B266" s="127" t="s">
        <v>236</v>
      </c>
      <c r="C266" s="242" t="s">
        <v>476</v>
      </c>
      <c r="D266" s="243"/>
      <c r="E266" s="127" t="s">
        <v>567</v>
      </c>
      <c r="F266" s="128">
        <v>44</v>
      </c>
      <c r="G266" s="174"/>
      <c r="H266" s="129">
        <f>F266*AO266</f>
        <v>0</v>
      </c>
      <c r="I266" s="129">
        <f>F266*AP266</f>
        <v>0</v>
      </c>
      <c r="J266" s="129">
        <f>F266*G266</f>
        <v>0</v>
      </c>
      <c r="K266" s="129">
        <v>0</v>
      </c>
      <c r="L266" s="129">
        <f>F266*K266</f>
        <v>0</v>
      </c>
      <c r="M266" s="130" t="s">
        <v>593</v>
      </c>
      <c r="N266" s="1"/>
      <c r="Z266" s="11">
        <f>IF(AQ266="5",BJ266,0)</f>
        <v>0</v>
      </c>
      <c r="AB266" s="11">
        <f>IF(AQ266="1",BH266,0)</f>
        <v>0</v>
      </c>
      <c r="AC266" s="11">
        <f>IF(AQ266="1",BI266,0)</f>
        <v>0</v>
      </c>
      <c r="AD266" s="11">
        <f>IF(AQ266="7",BH266,0)</f>
        <v>0</v>
      </c>
      <c r="AE266" s="11">
        <f>IF(AQ266="7",BI266,0)</f>
        <v>0</v>
      </c>
      <c r="AF266" s="11">
        <f>IF(AQ266="2",BH266,0)</f>
        <v>0</v>
      </c>
      <c r="AG266" s="11">
        <f>IF(AQ266="2",BI266,0)</f>
        <v>0</v>
      </c>
      <c r="AH266" s="11">
        <f>IF(AQ266="0",BJ266,0)</f>
        <v>0</v>
      </c>
      <c r="AI266" s="8"/>
      <c r="AJ266" s="6">
        <f>IF(AN266=0,J266,0)</f>
        <v>0</v>
      </c>
      <c r="AK266" s="6">
        <f>IF(AN266=15,J266,0)</f>
        <v>0</v>
      </c>
      <c r="AL266" s="6">
        <f>IF(AN266=21,J266,0)</f>
        <v>0</v>
      </c>
      <c r="AN266" s="11">
        <v>21</v>
      </c>
      <c r="AO266" s="11">
        <f>G266*0</f>
        <v>0</v>
      </c>
      <c r="AP266" s="11">
        <f>G266*(1-0)</f>
        <v>0</v>
      </c>
      <c r="AQ266" s="12" t="s">
        <v>7</v>
      </c>
      <c r="AV266" s="11">
        <f>AW266+AX266</f>
        <v>0</v>
      </c>
      <c r="AW266" s="11">
        <f>F266*AO266</f>
        <v>0</v>
      </c>
      <c r="AX266" s="11">
        <f>F266*AP266</f>
        <v>0</v>
      </c>
      <c r="AY266" s="14" t="s">
        <v>618</v>
      </c>
      <c r="AZ266" s="14" t="s">
        <v>628</v>
      </c>
      <c r="BA266" s="8" t="s">
        <v>629</v>
      </c>
      <c r="BC266" s="11">
        <f>AW266+AX266</f>
        <v>0</v>
      </c>
      <c r="BD266" s="11">
        <f>G266/(100-BE266)*100</f>
        <v>0</v>
      </c>
      <c r="BE266" s="11">
        <v>0</v>
      </c>
      <c r="BF266" s="11">
        <f>L266</f>
        <v>0</v>
      </c>
      <c r="BH266" s="6">
        <f>F266*AO266</f>
        <v>0</v>
      </c>
      <c r="BI266" s="6">
        <f>F266*AP266</f>
        <v>0</v>
      </c>
      <c r="BJ266" s="6">
        <f>F266*G266</f>
        <v>0</v>
      </c>
      <c r="BK266" s="6" t="s">
        <v>634</v>
      </c>
      <c r="BL266" s="11">
        <v>94</v>
      </c>
    </row>
    <row r="267" spans="1:14" ht="12.75">
      <c r="A267" s="131"/>
      <c r="B267" s="132"/>
      <c r="C267" s="133" t="s">
        <v>477</v>
      </c>
      <c r="D267" s="134"/>
      <c r="E267" s="132"/>
      <c r="F267" s="135">
        <v>44</v>
      </c>
      <c r="G267" s="173"/>
      <c r="H267" s="132"/>
      <c r="I267" s="132"/>
      <c r="J267" s="132"/>
      <c r="K267" s="132"/>
      <c r="L267" s="132"/>
      <c r="M267" s="136"/>
      <c r="N267" s="1"/>
    </row>
    <row r="268" spans="1:14" ht="12.75">
      <c r="A268" s="131"/>
      <c r="B268" s="144" t="s">
        <v>132</v>
      </c>
      <c r="C268" s="258" t="s">
        <v>478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60"/>
      <c r="N268" s="1"/>
    </row>
    <row r="269" spans="1:64" ht="12.75">
      <c r="A269" s="126" t="s">
        <v>101</v>
      </c>
      <c r="B269" s="127" t="s">
        <v>237</v>
      </c>
      <c r="C269" s="242" t="s">
        <v>479</v>
      </c>
      <c r="D269" s="243"/>
      <c r="E269" s="127" t="s">
        <v>567</v>
      </c>
      <c r="F269" s="128">
        <v>44</v>
      </c>
      <c r="G269" s="174"/>
      <c r="H269" s="129">
        <f>F269*AO269</f>
        <v>0</v>
      </c>
      <c r="I269" s="129">
        <f>F269*AP269</f>
        <v>0</v>
      </c>
      <c r="J269" s="129">
        <f>F269*G269</f>
        <v>0</v>
      </c>
      <c r="K269" s="129">
        <v>0</v>
      </c>
      <c r="L269" s="129">
        <f>F269*K269</f>
        <v>0</v>
      </c>
      <c r="M269" s="130" t="s">
        <v>593</v>
      </c>
      <c r="N269" s="1"/>
      <c r="Z269" s="11">
        <f>IF(AQ269="5",BJ269,0)</f>
        <v>0</v>
      </c>
      <c r="AB269" s="11">
        <f>IF(AQ269="1",BH269,0)</f>
        <v>0</v>
      </c>
      <c r="AC269" s="11">
        <f>IF(AQ269="1",BI269,0)</f>
        <v>0</v>
      </c>
      <c r="AD269" s="11">
        <f>IF(AQ269="7",BH269,0)</f>
        <v>0</v>
      </c>
      <c r="AE269" s="11">
        <f>IF(AQ269="7",BI269,0)</f>
        <v>0</v>
      </c>
      <c r="AF269" s="11">
        <f>IF(AQ269="2",BH269,0)</f>
        <v>0</v>
      </c>
      <c r="AG269" s="11">
        <f>IF(AQ269="2",BI269,0)</f>
        <v>0</v>
      </c>
      <c r="AH269" s="11">
        <f>IF(AQ269="0",BJ269,0)</f>
        <v>0</v>
      </c>
      <c r="AI269" s="8"/>
      <c r="AJ269" s="6">
        <f>IF(AN269=0,J269,0)</f>
        <v>0</v>
      </c>
      <c r="AK269" s="6">
        <f>IF(AN269=15,J269,0)</f>
        <v>0</v>
      </c>
      <c r="AL269" s="6">
        <f>IF(AN269=21,J269,0)</f>
        <v>0</v>
      </c>
      <c r="AN269" s="11">
        <v>21</v>
      </c>
      <c r="AO269" s="11">
        <f>G269*0</f>
        <v>0</v>
      </c>
      <c r="AP269" s="11">
        <f>G269*(1-0)</f>
        <v>0</v>
      </c>
      <c r="AQ269" s="12" t="s">
        <v>7</v>
      </c>
      <c r="AV269" s="11">
        <f>AW269+AX269</f>
        <v>0</v>
      </c>
      <c r="AW269" s="11">
        <f>F269*AO269</f>
        <v>0</v>
      </c>
      <c r="AX269" s="11">
        <f>F269*AP269</f>
        <v>0</v>
      </c>
      <c r="AY269" s="14" t="s">
        <v>618</v>
      </c>
      <c r="AZ269" s="14" t="s">
        <v>628</v>
      </c>
      <c r="BA269" s="8" t="s">
        <v>629</v>
      </c>
      <c r="BC269" s="11">
        <f>AW269+AX269</f>
        <v>0</v>
      </c>
      <c r="BD269" s="11">
        <f>G269/(100-BE269)*100</f>
        <v>0</v>
      </c>
      <c r="BE269" s="11">
        <v>0</v>
      </c>
      <c r="BF269" s="11">
        <f>L269</f>
        <v>0</v>
      </c>
      <c r="BH269" s="6">
        <f>F269*AO269</f>
        <v>0</v>
      </c>
      <c r="BI269" s="6">
        <f>F269*AP269</f>
        <v>0</v>
      </c>
      <c r="BJ269" s="6">
        <f>F269*G269</f>
        <v>0</v>
      </c>
      <c r="BK269" s="6" t="s">
        <v>634</v>
      </c>
      <c r="BL269" s="11">
        <v>94</v>
      </c>
    </row>
    <row r="270" spans="1:14" ht="12.75">
      <c r="A270" s="131"/>
      <c r="B270" s="132"/>
      <c r="C270" s="133" t="s">
        <v>480</v>
      </c>
      <c r="D270" s="134"/>
      <c r="E270" s="132"/>
      <c r="F270" s="135">
        <v>44</v>
      </c>
      <c r="G270" s="173"/>
      <c r="H270" s="132"/>
      <c r="I270" s="132"/>
      <c r="J270" s="132"/>
      <c r="K270" s="132"/>
      <c r="L270" s="132"/>
      <c r="M270" s="136"/>
      <c r="N270" s="1"/>
    </row>
    <row r="271" spans="1:64" ht="12.75">
      <c r="A271" s="126" t="s">
        <v>102</v>
      </c>
      <c r="B271" s="127" t="s">
        <v>238</v>
      </c>
      <c r="C271" s="242" t="s">
        <v>481</v>
      </c>
      <c r="D271" s="243"/>
      <c r="E271" s="127" t="s">
        <v>571</v>
      </c>
      <c r="F271" s="128">
        <v>25</v>
      </c>
      <c r="G271" s="174"/>
      <c r="H271" s="129">
        <f>F271*AO271</f>
        <v>0</v>
      </c>
      <c r="I271" s="129">
        <f>F271*AP271</f>
        <v>0</v>
      </c>
      <c r="J271" s="129">
        <f>F271*G271</f>
        <v>0</v>
      </c>
      <c r="K271" s="129">
        <v>0</v>
      </c>
      <c r="L271" s="129">
        <f>F271*K271</f>
        <v>0</v>
      </c>
      <c r="M271" s="130" t="s">
        <v>593</v>
      </c>
      <c r="N271" s="1"/>
      <c r="Z271" s="11">
        <f>IF(AQ271="5",BJ271,0)</f>
        <v>0</v>
      </c>
      <c r="AB271" s="11">
        <f>IF(AQ271="1",BH271,0)</f>
        <v>0</v>
      </c>
      <c r="AC271" s="11">
        <f>IF(AQ271="1",BI271,0)</f>
        <v>0</v>
      </c>
      <c r="AD271" s="11">
        <f>IF(AQ271="7",BH271,0)</f>
        <v>0</v>
      </c>
      <c r="AE271" s="11">
        <f>IF(AQ271="7",BI271,0)</f>
        <v>0</v>
      </c>
      <c r="AF271" s="11">
        <f>IF(AQ271="2",BH271,0)</f>
        <v>0</v>
      </c>
      <c r="AG271" s="11">
        <f>IF(AQ271="2",BI271,0)</f>
        <v>0</v>
      </c>
      <c r="AH271" s="11">
        <f>IF(AQ271="0",BJ271,0)</f>
        <v>0</v>
      </c>
      <c r="AI271" s="8"/>
      <c r="AJ271" s="6">
        <f>IF(AN271=0,J271,0)</f>
        <v>0</v>
      </c>
      <c r="AK271" s="6">
        <f>IF(AN271=15,J271,0)</f>
        <v>0</v>
      </c>
      <c r="AL271" s="6">
        <f>IF(AN271=21,J271,0)</f>
        <v>0</v>
      </c>
      <c r="AN271" s="11">
        <v>21</v>
      </c>
      <c r="AO271" s="11">
        <f>G271*0</f>
        <v>0</v>
      </c>
      <c r="AP271" s="11">
        <f>G271*(1-0)</f>
        <v>0</v>
      </c>
      <c r="AQ271" s="12" t="s">
        <v>7</v>
      </c>
      <c r="AV271" s="11">
        <f>AW271+AX271</f>
        <v>0</v>
      </c>
      <c r="AW271" s="11">
        <f>F271*AO271</f>
        <v>0</v>
      </c>
      <c r="AX271" s="11">
        <f>F271*AP271</f>
        <v>0</v>
      </c>
      <c r="AY271" s="14" t="s">
        <v>618</v>
      </c>
      <c r="AZ271" s="14" t="s">
        <v>628</v>
      </c>
      <c r="BA271" s="8" t="s">
        <v>629</v>
      </c>
      <c r="BC271" s="11">
        <f>AW271+AX271</f>
        <v>0</v>
      </c>
      <c r="BD271" s="11">
        <f>G271/(100-BE271)*100</f>
        <v>0</v>
      </c>
      <c r="BE271" s="11">
        <v>0</v>
      </c>
      <c r="BF271" s="11">
        <f>L271</f>
        <v>0</v>
      </c>
      <c r="BH271" s="6">
        <f>F271*AO271</f>
        <v>0</v>
      </c>
      <c r="BI271" s="6">
        <f>F271*AP271</f>
        <v>0</v>
      </c>
      <c r="BJ271" s="6">
        <f>F271*G271</f>
        <v>0</v>
      </c>
      <c r="BK271" s="6" t="s">
        <v>634</v>
      </c>
      <c r="BL271" s="11">
        <v>94</v>
      </c>
    </row>
    <row r="272" spans="1:14" ht="12.75">
      <c r="A272" s="131"/>
      <c r="B272" s="132"/>
      <c r="C272" s="133" t="s">
        <v>31</v>
      </c>
      <c r="D272" s="134"/>
      <c r="E272" s="132"/>
      <c r="F272" s="135">
        <v>25</v>
      </c>
      <c r="G272" s="173"/>
      <c r="H272" s="132"/>
      <c r="I272" s="132"/>
      <c r="J272" s="132"/>
      <c r="K272" s="132"/>
      <c r="L272" s="132"/>
      <c r="M272" s="136"/>
      <c r="N272" s="1"/>
    </row>
    <row r="273" spans="1:64" ht="12.75">
      <c r="A273" s="126" t="s">
        <v>103</v>
      </c>
      <c r="B273" s="127" t="s">
        <v>239</v>
      </c>
      <c r="C273" s="242" t="s">
        <v>482</v>
      </c>
      <c r="D273" s="243"/>
      <c r="E273" s="127" t="s">
        <v>564</v>
      </c>
      <c r="F273" s="128">
        <v>1</v>
      </c>
      <c r="G273" s="174"/>
      <c r="H273" s="129">
        <f>F273*AO273</f>
        <v>0</v>
      </c>
      <c r="I273" s="129">
        <f>F273*AP273</f>
        <v>0</v>
      </c>
      <c r="J273" s="129">
        <f>F273*G273</f>
        <v>0</v>
      </c>
      <c r="K273" s="129">
        <v>0</v>
      </c>
      <c r="L273" s="129">
        <f>F273*K273</f>
        <v>0</v>
      </c>
      <c r="M273" s="130" t="s">
        <v>593</v>
      </c>
      <c r="N273" s="1"/>
      <c r="Z273" s="11">
        <f>IF(AQ273="5",BJ273,0)</f>
        <v>0</v>
      </c>
      <c r="AB273" s="11">
        <f>IF(AQ273="1",BH273,0)</f>
        <v>0</v>
      </c>
      <c r="AC273" s="11">
        <f>IF(AQ273="1",BI273,0)</f>
        <v>0</v>
      </c>
      <c r="AD273" s="11">
        <f>IF(AQ273="7",BH273,0)</f>
        <v>0</v>
      </c>
      <c r="AE273" s="11">
        <f>IF(AQ273="7",BI273,0)</f>
        <v>0</v>
      </c>
      <c r="AF273" s="11">
        <f>IF(AQ273="2",BH273,0)</f>
        <v>0</v>
      </c>
      <c r="AG273" s="11">
        <f>IF(AQ273="2",BI273,0)</f>
        <v>0</v>
      </c>
      <c r="AH273" s="11">
        <f>IF(AQ273="0",BJ273,0)</f>
        <v>0</v>
      </c>
      <c r="AI273" s="8"/>
      <c r="AJ273" s="6">
        <f>IF(AN273=0,J273,0)</f>
        <v>0</v>
      </c>
      <c r="AK273" s="6">
        <f>IF(AN273=15,J273,0)</f>
        <v>0</v>
      </c>
      <c r="AL273" s="6">
        <f>IF(AN273=21,J273,0)</f>
        <v>0</v>
      </c>
      <c r="AN273" s="11">
        <v>21</v>
      </c>
      <c r="AO273" s="11">
        <f>G273*0</f>
        <v>0</v>
      </c>
      <c r="AP273" s="11">
        <f>G273*(1-0)</f>
        <v>0</v>
      </c>
      <c r="AQ273" s="12" t="s">
        <v>7</v>
      </c>
      <c r="AV273" s="11">
        <f>AW273+AX273</f>
        <v>0</v>
      </c>
      <c r="AW273" s="11">
        <f>F273*AO273</f>
        <v>0</v>
      </c>
      <c r="AX273" s="11">
        <f>F273*AP273</f>
        <v>0</v>
      </c>
      <c r="AY273" s="14" t="s">
        <v>618</v>
      </c>
      <c r="AZ273" s="14" t="s">
        <v>628</v>
      </c>
      <c r="BA273" s="8" t="s">
        <v>629</v>
      </c>
      <c r="BC273" s="11">
        <f>AW273+AX273</f>
        <v>0</v>
      </c>
      <c r="BD273" s="11">
        <f>G273/(100-BE273)*100</f>
        <v>0</v>
      </c>
      <c r="BE273" s="11">
        <v>0</v>
      </c>
      <c r="BF273" s="11">
        <f>L273</f>
        <v>0</v>
      </c>
      <c r="BH273" s="6">
        <f>F273*AO273</f>
        <v>0</v>
      </c>
      <c r="BI273" s="6">
        <f>F273*AP273</f>
        <v>0</v>
      </c>
      <c r="BJ273" s="6">
        <f>F273*G273</f>
        <v>0</v>
      </c>
      <c r="BK273" s="6" t="s">
        <v>634</v>
      </c>
      <c r="BL273" s="11">
        <v>94</v>
      </c>
    </row>
    <row r="274" spans="1:14" ht="12.75">
      <c r="A274" s="131"/>
      <c r="B274" s="132"/>
      <c r="C274" s="133" t="s">
        <v>7</v>
      </c>
      <c r="D274" s="134"/>
      <c r="E274" s="132"/>
      <c r="F274" s="135">
        <v>1</v>
      </c>
      <c r="G274" s="173"/>
      <c r="H274" s="132"/>
      <c r="I274" s="132"/>
      <c r="J274" s="132"/>
      <c r="K274" s="132"/>
      <c r="L274" s="132"/>
      <c r="M274" s="136"/>
      <c r="N274" s="1"/>
    </row>
    <row r="275" spans="1:64" ht="12.75">
      <c r="A275" s="126" t="s">
        <v>104</v>
      </c>
      <c r="B275" s="127" t="s">
        <v>240</v>
      </c>
      <c r="C275" s="242" t="s">
        <v>483</v>
      </c>
      <c r="D275" s="243"/>
      <c r="E275" s="127" t="s">
        <v>572</v>
      </c>
      <c r="F275" s="128">
        <v>5</v>
      </c>
      <c r="G275" s="174"/>
      <c r="H275" s="129">
        <f>F275*AO275</f>
        <v>0</v>
      </c>
      <c r="I275" s="129">
        <f>F275*AP275</f>
        <v>0</v>
      </c>
      <c r="J275" s="129">
        <f>F275*G275</f>
        <v>0</v>
      </c>
      <c r="K275" s="129">
        <v>0</v>
      </c>
      <c r="L275" s="129">
        <f>F275*K275</f>
        <v>0</v>
      </c>
      <c r="M275" s="130" t="s">
        <v>593</v>
      </c>
      <c r="N275" s="1"/>
      <c r="Z275" s="11">
        <f>IF(AQ275="5",BJ275,0)</f>
        <v>0</v>
      </c>
      <c r="AB275" s="11">
        <f>IF(AQ275="1",BH275,0)</f>
        <v>0</v>
      </c>
      <c r="AC275" s="11">
        <f>IF(AQ275="1",BI275,0)</f>
        <v>0</v>
      </c>
      <c r="AD275" s="11">
        <f>IF(AQ275="7",BH275,0)</f>
        <v>0</v>
      </c>
      <c r="AE275" s="11">
        <f>IF(AQ275="7",BI275,0)</f>
        <v>0</v>
      </c>
      <c r="AF275" s="11">
        <f>IF(AQ275="2",BH275,0)</f>
        <v>0</v>
      </c>
      <c r="AG275" s="11">
        <f>IF(AQ275="2",BI275,0)</f>
        <v>0</v>
      </c>
      <c r="AH275" s="11">
        <f>IF(AQ275="0",BJ275,0)</f>
        <v>0</v>
      </c>
      <c r="AI275" s="8"/>
      <c r="AJ275" s="6">
        <f>IF(AN275=0,J275,0)</f>
        <v>0</v>
      </c>
      <c r="AK275" s="6">
        <f>IF(AN275=15,J275,0)</f>
        <v>0</v>
      </c>
      <c r="AL275" s="6">
        <f>IF(AN275=21,J275,0)</f>
        <v>0</v>
      </c>
      <c r="AN275" s="11">
        <v>21</v>
      </c>
      <c r="AO275" s="11">
        <f>G275*0</f>
        <v>0</v>
      </c>
      <c r="AP275" s="11">
        <f>G275*(1-0)</f>
        <v>0</v>
      </c>
      <c r="AQ275" s="12" t="s">
        <v>7</v>
      </c>
      <c r="AV275" s="11">
        <f>AW275+AX275</f>
        <v>0</v>
      </c>
      <c r="AW275" s="11">
        <f>F275*AO275</f>
        <v>0</v>
      </c>
      <c r="AX275" s="11">
        <f>F275*AP275</f>
        <v>0</v>
      </c>
      <c r="AY275" s="14" t="s">
        <v>618</v>
      </c>
      <c r="AZ275" s="14" t="s">
        <v>628</v>
      </c>
      <c r="BA275" s="8" t="s">
        <v>629</v>
      </c>
      <c r="BC275" s="11">
        <f>AW275+AX275</f>
        <v>0</v>
      </c>
      <c r="BD275" s="11">
        <f>G275/(100-BE275)*100</f>
        <v>0</v>
      </c>
      <c r="BE275" s="11">
        <v>0</v>
      </c>
      <c r="BF275" s="11">
        <f>L275</f>
        <v>0</v>
      </c>
      <c r="BH275" s="6">
        <f>F275*AO275</f>
        <v>0</v>
      </c>
      <c r="BI275" s="6">
        <f>F275*AP275</f>
        <v>0</v>
      </c>
      <c r="BJ275" s="6">
        <f>F275*G275</f>
        <v>0</v>
      </c>
      <c r="BK275" s="6" t="s">
        <v>634</v>
      </c>
      <c r="BL275" s="11">
        <v>94</v>
      </c>
    </row>
    <row r="276" spans="1:14" ht="12.75">
      <c r="A276" s="131"/>
      <c r="B276" s="132"/>
      <c r="C276" s="133" t="s">
        <v>11</v>
      </c>
      <c r="D276" s="134"/>
      <c r="E276" s="132"/>
      <c r="F276" s="135">
        <v>5</v>
      </c>
      <c r="G276" s="173"/>
      <c r="H276" s="132"/>
      <c r="I276" s="132"/>
      <c r="J276" s="132"/>
      <c r="K276" s="132"/>
      <c r="L276" s="132"/>
      <c r="M276" s="136"/>
      <c r="N276" s="1"/>
    </row>
    <row r="277" spans="1:64" ht="12.75">
      <c r="A277" s="126" t="s">
        <v>105</v>
      </c>
      <c r="B277" s="127" t="s">
        <v>241</v>
      </c>
      <c r="C277" s="242" t="s">
        <v>484</v>
      </c>
      <c r="D277" s="243"/>
      <c r="E277" s="127" t="s">
        <v>571</v>
      </c>
      <c r="F277" s="128">
        <v>22</v>
      </c>
      <c r="G277" s="174"/>
      <c r="H277" s="129">
        <f>F277*AO277</f>
        <v>0</v>
      </c>
      <c r="I277" s="129">
        <f>F277*AP277</f>
        <v>0</v>
      </c>
      <c r="J277" s="129">
        <f>F277*G277</f>
        <v>0</v>
      </c>
      <c r="K277" s="129">
        <v>0</v>
      </c>
      <c r="L277" s="129">
        <f>F277*K277</f>
        <v>0</v>
      </c>
      <c r="M277" s="130" t="s">
        <v>593</v>
      </c>
      <c r="N277" s="1"/>
      <c r="Z277" s="11">
        <f>IF(AQ277="5",BJ277,0)</f>
        <v>0</v>
      </c>
      <c r="AB277" s="11">
        <f>IF(AQ277="1",BH277,0)</f>
        <v>0</v>
      </c>
      <c r="AC277" s="11">
        <f>IF(AQ277="1",BI277,0)</f>
        <v>0</v>
      </c>
      <c r="AD277" s="11">
        <f>IF(AQ277="7",BH277,0)</f>
        <v>0</v>
      </c>
      <c r="AE277" s="11">
        <f>IF(AQ277="7",BI277,0)</f>
        <v>0</v>
      </c>
      <c r="AF277" s="11">
        <f>IF(AQ277="2",BH277,0)</f>
        <v>0</v>
      </c>
      <c r="AG277" s="11">
        <f>IF(AQ277="2",BI277,0)</f>
        <v>0</v>
      </c>
      <c r="AH277" s="11">
        <f>IF(AQ277="0",BJ277,0)</f>
        <v>0</v>
      </c>
      <c r="AI277" s="8"/>
      <c r="AJ277" s="6">
        <f>IF(AN277=0,J277,0)</f>
        <v>0</v>
      </c>
      <c r="AK277" s="6">
        <f>IF(AN277=15,J277,0)</f>
        <v>0</v>
      </c>
      <c r="AL277" s="6">
        <f>IF(AN277=21,J277,0)</f>
        <v>0</v>
      </c>
      <c r="AN277" s="11">
        <v>21</v>
      </c>
      <c r="AO277" s="11">
        <f>G277*0</f>
        <v>0</v>
      </c>
      <c r="AP277" s="11">
        <f>G277*(1-0)</f>
        <v>0</v>
      </c>
      <c r="AQ277" s="12" t="s">
        <v>7</v>
      </c>
      <c r="AV277" s="11">
        <f>AW277+AX277</f>
        <v>0</v>
      </c>
      <c r="AW277" s="11">
        <f>F277*AO277</f>
        <v>0</v>
      </c>
      <c r="AX277" s="11">
        <f>F277*AP277</f>
        <v>0</v>
      </c>
      <c r="AY277" s="14" t="s">
        <v>618</v>
      </c>
      <c r="AZ277" s="14" t="s">
        <v>628</v>
      </c>
      <c r="BA277" s="8" t="s">
        <v>629</v>
      </c>
      <c r="BC277" s="11">
        <f>AW277+AX277</f>
        <v>0</v>
      </c>
      <c r="BD277" s="11">
        <f>G277/(100-BE277)*100</f>
        <v>0</v>
      </c>
      <c r="BE277" s="11">
        <v>0</v>
      </c>
      <c r="BF277" s="11">
        <f>L277</f>
        <v>0</v>
      </c>
      <c r="BH277" s="6">
        <f>F277*AO277</f>
        <v>0</v>
      </c>
      <c r="BI277" s="6">
        <f>F277*AP277</f>
        <v>0</v>
      </c>
      <c r="BJ277" s="6">
        <f>F277*G277</f>
        <v>0</v>
      </c>
      <c r="BK277" s="6" t="s">
        <v>634</v>
      </c>
      <c r="BL277" s="11">
        <v>94</v>
      </c>
    </row>
    <row r="278" spans="1:14" ht="12.75">
      <c r="A278" s="131"/>
      <c r="B278" s="132"/>
      <c r="C278" s="133" t="s">
        <v>28</v>
      </c>
      <c r="D278" s="134"/>
      <c r="E278" s="132"/>
      <c r="F278" s="135">
        <v>22</v>
      </c>
      <c r="G278" s="173"/>
      <c r="H278" s="132"/>
      <c r="I278" s="132"/>
      <c r="J278" s="132"/>
      <c r="K278" s="132"/>
      <c r="L278" s="132"/>
      <c r="M278" s="136"/>
      <c r="N278" s="1"/>
    </row>
    <row r="279" spans="1:64" ht="12.75">
      <c r="A279" s="126" t="s">
        <v>106</v>
      </c>
      <c r="B279" s="127" t="s">
        <v>242</v>
      </c>
      <c r="C279" s="242" t="s">
        <v>485</v>
      </c>
      <c r="D279" s="243"/>
      <c r="E279" s="127" t="s">
        <v>571</v>
      </c>
      <c r="F279" s="128">
        <v>1</v>
      </c>
      <c r="G279" s="174"/>
      <c r="H279" s="129">
        <f>F279*AO279</f>
        <v>0</v>
      </c>
      <c r="I279" s="129">
        <f>F279*AP279</f>
        <v>0</v>
      </c>
      <c r="J279" s="129">
        <f>F279*G279</f>
        <v>0</v>
      </c>
      <c r="K279" s="129">
        <v>0</v>
      </c>
      <c r="L279" s="129">
        <f>F279*K279</f>
        <v>0</v>
      </c>
      <c r="M279" s="130" t="s">
        <v>593</v>
      </c>
      <c r="N279" s="1"/>
      <c r="Z279" s="11">
        <f>IF(AQ279="5",BJ279,0)</f>
        <v>0</v>
      </c>
      <c r="AB279" s="11">
        <f>IF(AQ279="1",BH279,0)</f>
        <v>0</v>
      </c>
      <c r="AC279" s="11">
        <f>IF(AQ279="1",BI279,0)</f>
        <v>0</v>
      </c>
      <c r="AD279" s="11">
        <f>IF(AQ279="7",BH279,0)</f>
        <v>0</v>
      </c>
      <c r="AE279" s="11">
        <f>IF(AQ279="7",BI279,0)</f>
        <v>0</v>
      </c>
      <c r="AF279" s="11">
        <f>IF(AQ279="2",BH279,0)</f>
        <v>0</v>
      </c>
      <c r="AG279" s="11">
        <f>IF(AQ279="2",BI279,0)</f>
        <v>0</v>
      </c>
      <c r="AH279" s="11">
        <f>IF(AQ279="0",BJ279,0)</f>
        <v>0</v>
      </c>
      <c r="AI279" s="8"/>
      <c r="AJ279" s="6">
        <f>IF(AN279=0,J279,0)</f>
        <v>0</v>
      </c>
      <c r="AK279" s="6">
        <f>IF(AN279=15,J279,0)</f>
        <v>0</v>
      </c>
      <c r="AL279" s="6">
        <f>IF(AN279=21,J279,0)</f>
        <v>0</v>
      </c>
      <c r="AN279" s="11">
        <v>21</v>
      </c>
      <c r="AO279" s="11">
        <f>G279*0</f>
        <v>0</v>
      </c>
      <c r="AP279" s="11">
        <f>G279*(1-0)</f>
        <v>0</v>
      </c>
      <c r="AQ279" s="12" t="s">
        <v>7</v>
      </c>
      <c r="AV279" s="11">
        <f>AW279+AX279</f>
        <v>0</v>
      </c>
      <c r="AW279" s="11">
        <f>F279*AO279</f>
        <v>0</v>
      </c>
      <c r="AX279" s="11">
        <f>F279*AP279</f>
        <v>0</v>
      </c>
      <c r="AY279" s="14" t="s">
        <v>618</v>
      </c>
      <c r="AZ279" s="14" t="s">
        <v>628</v>
      </c>
      <c r="BA279" s="8" t="s">
        <v>629</v>
      </c>
      <c r="BC279" s="11">
        <f>AW279+AX279</f>
        <v>0</v>
      </c>
      <c r="BD279" s="11">
        <f>G279/(100-BE279)*100</f>
        <v>0</v>
      </c>
      <c r="BE279" s="11">
        <v>0</v>
      </c>
      <c r="BF279" s="11">
        <f>L279</f>
        <v>0</v>
      </c>
      <c r="BH279" s="6">
        <f>F279*AO279</f>
        <v>0</v>
      </c>
      <c r="BI279" s="6">
        <f>F279*AP279</f>
        <v>0</v>
      </c>
      <c r="BJ279" s="6">
        <f>F279*G279</f>
        <v>0</v>
      </c>
      <c r="BK279" s="6" t="s">
        <v>634</v>
      </c>
      <c r="BL279" s="11">
        <v>94</v>
      </c>
    </row>
    <row r="280" spans="1:14" ht="12.75">
      <c r="A280" s="131"/>
      <c r="B280" s="132"/>
      <c r="C280" s="133" t="s">
        <v>7</v>
      </c>
      <c r="D280" s="134"/>
      <c r="E280" s="132"/>
      <c r="F280" s="135">
        <v>1</v>
      </c>
      <c r="G280" s="173"/>
      <c r="H280" s="132"/>
      <c r="I280" s="132"/>
      <c r="J280" s="132"/>
      <c r="K280" s="132"/>
      <c r="L280" s="132"/>
      <c r="M280" s="136"/>
      <c r="N280" s="1"/>
    </row>
    <row r="281" spans="1:47" ht="12.75">
      <c r="A281" s="137"/>
      <c r="B281" s="138" t="s">
        <v>101</v>
      </c>
      <c r="C281" s="244" t="s">
        <v>486</v>
      </c>
      <c r="D281" s="245"/>
      <c r="E281" s="139" t="s">
        <v>6</v>
      </c>
      <c r="F281" s="139" t="s">
        <v>6</v>
      </c>
      <c r="G281" s="139" t="s">
        <v>6</v>
      </c>
      <c r="H281" s="140">
        <f>SUM(H282:H303)</f>
        <v>0</v>
      </c>
      <c r="I281" s="140">
        <f>SUM(I282:I303)</f>
        <v>0</v>
      </c>
      <c r="J281" s="140">
        <f>SUM(J282:J303)</f>
        <v>0</v>
      </c>
      <c r="K281" s="141"/>
      <c r="L281" s="140">
        <f>SUM(L282:L303)</f>
        <v>18.5062355</v>
      </c>
      <c r="M281" s="142"/>
      <c r="N281" s="1"/>
      <c r="AI281" s="8"/>
      <c r="AS281" s="16">
        <f>SUM(AJ282:AJ303)</f>
        <v>0</v>
      </c>
      <c r="AT281" s="16">
        <f>SUM(AK282:AK303)</f>
        <v>0</v>
      </c>
      <c r="AU281" s="16">
        <f>SUM(AL282:AL303)</f>
        <v>0</v>
      </c>
    </row>
    <row r="282" spans="1:64" ht="12.75">
      <c r="A282" s="126" t="s">
        <v>107</v>
      </c>
      <c r="B282" s="127" t="s">
        <v>243</v>
      </c>
      <c r="C282" s="242" t="s">
        <v>487</v>
      </c>
      <c r="D282" s="243"/>
      <c r="E282" s="127" t="s">
        <v>565</v>
      </c>
      <c r="F282" s="128">
        <v>310.95</v>
      </c>
      <c r="G282" s="174"/>
      <c r="H282" s="129">
        <f>F282*AO282</f>
        <v>0</v>
      </c>
      <c r="I282" s="129">
        <f>F282*AP282</f>
        <v>0</v>
      </c>
      <c r="J282" s="129">
        <f>F282*G282</f>
        <v>0</v>
      </c>
      <c r="K282" s="129">
        <v>0.05097</v>
      </c>
      <c r="L282" s="129">
        <f>F282*K282</f>
        <v>15.849121499999999</v>
      </c>
      <c r="M282" s="130" t="s">
        <v>593</v>
      </c>
      <c r="N282" s="1"/>
      <c r="Z282" s="11">
        <f>IF(AQ282="5",BJ282,0)</f>
        <v>0</v>
      </c>
      <c r="AB282" s="11">
        <f>IF(AQ282="1",BH282,0)</f>
        <v>0</v>
      </c>
      <c r="AC282" s="11">
        <f>IF(AQ282="1",BI282,0)</f>
        <v>0</v>
      </c>
      <c r="AD282" s="11">
        <f>IF(AQ282="7",BH282,0)</f>
        <v>0</v>
      </c>
      <c r="AE282" s="11">
        <f>IF(AQ282="7",BI282,0)</f>
        <v>0</v>
      </c>
      <c r="AF282" s="11">
        <f>IF(AQ282="2",BH282,0)</f>
        <v>0</v>
      </c>
      <c r="AG282" s="11">
        <f>IF(AQ282="2",BI282,0)</f>
        <v>0</v>
      </c>
      <c r="AH282" s="11">
        <f>IF(AQ282="0",BJ282,0)</f>
        <v>0</v>
      </c>
      <c r="AI282" s="8"/>
      <c r="AJ282" s="6">
        <f>IF(AN282=0,J282,0)</f>
        <v>0</v>
      </c>
      <c r="AK282" s="6">
        <f>IF(AN282=15,J282,0)</f>
        <v>0</v>
      </c>
      <c r="AL282" s="6">
        <f>IF(AN282=21,J282,0)</f>
        <v>0</v>
      </c>
      <c r="AN282" s="11">
        <v>21</v>
      </c>
      <c r="AO282" s="11">
        <f>G282*0.0891781753474968</f>
        <v>0</v>
      </c>
      <c r="AP282" s="11">
        <f>G282*(1-0.0891781753474968)</f>
        <v>0</v>
      </c>
      <c r="AQ282" s="12" t="s">
        <v>7</v>
      </c>
      <c r="AV282" s="11">
        <f>AW282+AX282</f>
        <v>0</v>
      </c>
      <c r="AW282" s="11">
        <f>F282*AO282</f>
        <v>0</v>
      </c>
      <c r="AX282" s="11">
        <f>F282*AP282</f>
        <v>0</v>
      </c>
      <c r="AY282" s="14" t="s">
        <v>619</v>
      </c>
      <c r="AZ282" s="14" t="s">
        <v>628</v>
      </c>
      <c r="BA282" s="8" t="s">
        <v>629</v>
      </c>
      <c r="BC282" s="11">
        <f>AW282+AX282</f>
        <v>0</v>
      </c>
      <c r="BD282" s="11">
        <f>G282/(100-BE282)*100</f>
        <v>0</v>
      </c>
      <c r="BE282" s="11">
        <v>0</v>
      </c>
      <c r="BF282" s="11">
        <f>L282</f>
        <v>15.849121499999999</v>
      </c>
      <c r="BH282" s="6">
        <f>F282*AO282</f>
        <v>0</v>
      </c>
      <c r="BI282" s="6">
        <f>F282*AP282</f>
        <v>0</v>
      </c>
      <c r="BJ282" s="6">
        <f>F282*G282</f>
        <v>0</v>
      </c>
      <c r="BK282" s="6" t="s">
        <v>634</v>
      </c>
      <c r="BL282" s="11">
        <v>95</v>
      </c>
    </row>
    <row r="283" spans="1:14" ht="12.75">
      <c r="A283" s="131"/>
      <c r="B283" s="132"/>
      <c r="C283" s="133" t="s">
        <v>279</v>
      </c>
      <c r="D283" s="134" t="s">
        <v>557</v>
      </c>
      <c r="E283" s="132"/>
      <c r="F283" s="135">
        <v>310.95</v>
      </c>
      <c r="G283" s="173"/>
      <c r="H283" s="132"/>
      <c r="I283" s="132"/>
      <c r="J283" s="132"/>
      <c r="K283" s="132"/>
      <c r="L283" s="132"/>
      <c r="M283" s="136"/>
      <c r="N283" s="1"/>
    </row>
    <row r="284" spans="1:64" ht="12.75">
      <c r="A284" s="126" t="s">
        <v>108</v>
      </c>
      <c r="B284" s="127" t="s">
        <v>244</v>
      </c>
      <c r="C284" s="242" t="s">
        <v>488</v>
      </c>
      <c r="D284" s="243"/>
      <c r="E284" s="127" t="s">
        <v>568</v>
      </c>
      <c r="F284" s="128">
        <v>15.849</v>
      </c>
      <c r="G284" s="174"/>
      <c r="H284" s="129">
        <f>F284*AO284</f>
        <v>0</v>
      </c>
      <c r="I284" s="129">
        <f>F284*AP284</f>
        <v>0</v>
      </c>
      <c r="J284" s="129">
        <f>F284*G284</f>
        <v>0</v>
      </c>
      <c r="K284" s="129">
        <v>0</v>
      </c>
      <c r="L284" s="129">
        <f>F284*K284</f>
        <v>0</v>
      </c>
      <c r="M284" s="130" t="s">
        <v>593</v>
      </c>
      <c r="N284" s="1"/>
      <c r="Z284" s="11">
        <f>IF(AQ284="5",BJ284,0)</f>
        <v>0</v>
      </c>
      <c r="AB284" s="11">
        <f>IF(AQ284="1",BH284,0)</f>
        <v>0</v>
      </c>
      <c r="AC284" s="11">
        <f>IF(AQ284="1",BI284,0)</f>
        <v>0</v>
      </c>
      <c r="AD284" s="11">
        <f>IF(AQ284="7",BH284,0)</f>
        <v>0</v>
      </c>
      <c r="AE284" s="11">
        <f>IF(AQ284="7",BI284,0)</f>
        <v>0</v>
      </c>
      <c r="AF284" s="11">
        <f>IF(AQ284="2",BH284,0)</f>
        <v>0</v>
      </c>
      <c r="AG284" s="11">
        <f>IF(AQ284="2",BI284,0)</f>
        <v>0</v>
      </c>
      <c r="AH284" s="11">
        <f>IF(AQ284="0",BJ284,0)</f>
        <v>0</v>
      </c>
      <c r="AI284" s="8"/>
      <c r="AJ284" s="6">
        <f>IF(AN284=0,J284,0)</f>
        <v>0</v>
      </c>
      <c r="AK284" s="6">
        <f>IF(AN284=15,J284,0)</f>
        <v>0</v>
      </c>
      <c r="AL284" s="6">
        <f>IF(AN284=21,J284,0)</f>
        <v>0</v>
      </c>
      <c r="AN284" s="11">
        <v>21</v>
      </c>
      <c r="AO284" s="11">
        <f>G284*0</f>
        <v>0</v>
      </c>
      <c r="AP284" s="11">
        <f>G284*(1-0)</f>
        <v>0</v>
      </c>
      <c r="AQ284" s="12" t="s">
        <v>7</v>
      </c>
      <c r="AV284" s="11">
        <f>AW284+AX284</f>
        <v>0</v>
      </c>
      <c r="AW284" s="11">
        <f>F284*AO284</f>
        <v>0</v>
      </c>
      <c r="AX284" s="11">
        <f>F284*AP284</f>
        <v>0</v>
      </c>
      <c r="AY284" s="14" t="s">
        <v>619</v>
      </c>
      <c r="AZ284" s="14" t="s">
        <v>628</v>
      </c>
      <c r="BA284" s="8" t="s">
        <v>629</v>
      </c>
      <c r="BC284" s="11">
        <f>AW284+AX284</f>
        <v>0</v>
      </c>
      <c r="BD284" s="11">
        <f>G284/(100-BE284)*100</f>
        <v>0</v>
      </c>
      <c r="BE284" s="11">
        <v>0</v>
      </c>
      <c r="BF284" s="11">
        <f>L284</f>
        <v>0</v>
      </c>
      <c r="BH284" s="6">
        <f>F284*AO284</f>
        <v>0</v>
      </c>
      <c r="BI284" s="6">
        <f>F284*AP284</f>
        <v>0</v>
      </c>
      <c r="BJ284" s="6">
        <f>F284*G284</f>
        <v>0</v>
      </c>
      <c r="BK284" s="6" t="s">
        <v>634</v>
      </c>
      <c r="BL284" s="11">
        <v>95</v>
      </c>
    </row>
    <row r="285" spans="1:14" ht="12.75">
      <c r="A285" s="131"/>
      <c r="B285" s="132"/>
      <c r="C285" s="133" t="s">
        <v>489</v>
      </c>
      <c r="D285" s="134"/>
      <c r="E285" s="132"/>
      <c r="F285" s="135">
        <v>15.849</v>
      </c>
      <c r="G285" s="173"/>
      <c r="H285" s="132"/>
      <c r="I285" s="132"/>
      <c r="J285" s="132"/>
      <c r="K285" s="132"/>
      <c r="L285" s="132"/>
      <c r="M285" s="136"/>
      <c r="N285" s="1"/>
    </row>
    <row r="286" spans="1:64" ht="12.75">
      <c r="A286" s="126" t="s">
        <v>109</v>
      </c>
      <c r="B286" s="127" t="s">
        <v>245</v>
      </c>
      <c r="C286" s="242" t="s">
        <v>490</v>
      </c>
      <c r="D286" s="243"/>
      <c r="E286" s="127" t="s">
        <v>568</v>
      </c>
      <c r="F286" s="128">
        <v>316.98</v>
      </c>
      <c r="G286" s="174"/>
      <c r="H286" s="129">
        <f>F286*AO286</f>
        <v>0</v>
      </c>
      <c r="I286" s="129">
        <f>F286*AP286</f>
        <v>0</v>
      </c>
      <c r="J286" s="129">
        <f>F286*G286</f>
        <v>0</v>
      </c>
      <c r="K286" s="129">
        <v>0</v>
      </c>
      <c r="L286" s="129">
        <f>F286*K286</f>
        <v>0</v>
      </c>
      <c r="M286" s="130" t="s">
        <v>593</v>
      </c>
      <c r="N286" s="1"/>
      <c r="Z286" s="11">
        <f>IF(AQ286="5",BJ286,0)</f>
        <v>0</v>
      </c>
      <c r="AB286" s="11">
        <f>IF(AQ286="1",BH286,0)</f>
        <v>0</v>
      </c>
      <c r="AC286" s="11">
        <f>IF(AQ286="1",BI286,0)</f>
        <v>0</v>
      </c>
      <c r="AD286" s="11">
        <f>IF(AQ286="7",BH286,0)</f>
        <v>0</v>
      </c>
      <c r="AE286" s="11">
        <f>IF(AQ286="7",BI286,0)</f>
        <v>0</v>
      </c>
      <c r="AF286" s="11">
        <f>IF(AQ286="2",BH286,0)</f>
        <v>0</v>
      </c>
      <c r="AG286" s="11">
        <f>IF(AQ286="2",BI286,0)</f>
        <v>0</v>
      </c>
      <c r="AH286" s="11">
        <f>IF(AQ286="0",BJ286,0)</f>
        <v>0</v>
      </c>
      <c r="AI286" s="8"/>
      <c r="AJ286" s="6">
        <f>IF(AN286=0,J286,0)</f>
        <v>0</v>
      </c>
      <c r="AK286" s="6">
        <f>IF(AN286=15,J286,0)</f>
        <v>0</v>
      </c>
      <c r="AL286" s="6">
        <f>IF(AN286=21,J286,0)</f>
        <v>0</v>
      </c>
      <c r="AN286" s="11">
        <v>21</v>
      </c>
      <c r="AO286" s="11">
        <f>G286*0</f>
        <v>0</v>
      </c>
      <c r="AP286" s="11">
        <f>G286*(1-0)</f>
        <v>0</v>
      </c>
      <c r="AQ286" s="12" t="s">
        <v>7</v>
      </c>
      <c r="AV286" s="11">
        <f>AW286+AX286</f>
        <v>0</v>
      </c>
      <c r="AW286" s="11">
        <f>F286*AO286</f>
        <v>0</v>
      </c>
      <c r="AX286" s="11">
        <f>F286*AP286</f>
        <v>0</v>
      </c>
      <c r="AY286" s="14" t="s">
        <v>619</v>
      </c>
      <c r="AZ286" s="14" t="s">
        <v>628</v>
      </c>
      <c r="BA286" s="8" t="s">
        <v>629</v>
      </c>
      <c r="BC286" s="11">
        <f>AW286+AX286</f>
        <v>0</v>
      </c>
      <c r="BD286" s="11">
        <f>G286/(100-BE286)*100</f>
        <v>0</v>
      </c>
      <c r="BE286" s="11">
        <v>0</v>
      </c>
      <c r="BF286" s="11">
        <f>L286</f>
        <v>0</v>
      </c>
      <c r="BH286" s="6">
        <f>F286*AO286</f>
        <v>0</v>
      </c>
      <c r="BI286" s="6">
        <f>F286*AP286</f>
        <v>0</v>
      </c>
      <c r="BJ286" s="6">
        <f>F286*G286</f>
        <v>0</v>
      </c>
      <c r="BK286" s="6" t="s">
        <v>634</v>
      </c>
      <c r="BL286" s="11">
        <v>95</v>
      </c>
    </row>
    <row r="287" spans="1:14" ht="12.75">
      <c r="A287" s="131"/>
      <c r="B287" s="132"/>
      <c r="C287" s="133" t="s">
        <v>491</v>
      </c>
      <c r="D287" s="134"/>
      <c r="E287" s="132"/>
      <c r="F287" s="135">
        <v>316.98</v>
      </c>
      <c r="G287" s="173"/>
      <c r="H287" s="132"/>
      <c r="I287" s="132"/>
      <c r="J287" s="132"/>
      <c r="K287" s="132"/>
      <c r="L287" s="132"/>
      <c r="M287" s="136"/>
      <c r="N287" s="1"/>
    </row>
    <row r="288" spans="1:64" ht="12.75">
      <c r="A288" s="126" t="s">
        <v>110</v>
      </c>
      <c r="B288" s="127" t="s">
        <v>246</v>
      </c>
      <c r="C288" s="242" t="s">
        <v>492</v>
      </c>
      <c r="D288" s="243"/>
      <c r="E288" s="127" t="s">
        <v>564</v>
      </c>
      <c r="F288" s="128">
        <v>8</v>
      </c>
      <c r="G288" s="174"/>
      <c r="H288" s="129">
        <f>F288*AO288</f>
        <v>0</v>
      </c>
      <c r="I288" s="129">
        <f>F288*AP288</f>
        <v>0</v>
      </c>
      <c r="J288" s="129">
        <f>F288*G288</f>
        <v>0</v>
      </c>
      <c r="K288" s="129">
        <v>0.01116</v>
      </c>
      <c r="L288" s="129">
        <f>F288*K288</f>
        <v>0.08928</v>
      </c>
      <c r="M288" s="130" t="s">
        <v>593</v>
      </c>
      <c r="N288" s="1"/>
      <c r="Z288" s="11">
        <f>IF(AQ288="5",BJ288,0)</f>
        <v>0</v>
      </c>
      <c r="AB288" s="11">
        <f>IF(AQ288="1",BH288,0)</f>
        <v>0</v>
      </c>
      <c r="AC288" s="11">
        <f>IF(AQ288="1",BI288,0)</f>
        <v>0</v>
      </c>
      <c r="AD288" s="11">
        <f>IF(AQ288="7",BH288,0)</f>
        <v>0</v>
      </c>
      <c r="AE288" s="11">
        <f>IF(AQ288="7",BI288,0)</f>
        <v>0</v>
      </c>
      <c r="AF288" s="11">
        <f>IF(AQ288="2",BH288,0)</f>
        <v>0</v>
      </c>
      <c r="AG288" s="11">
        <f>IF(AQ288="2",BI288,0)</f>
        <v>0</v>
      </c>
      <c r="AH288" s="11">
        <f>IF(AQ288="0",BJ288,0)</f>
        <v>0</v>
      </c>
      <c r="AI288" s="8"/>
      <c r="AJ288" s="6">
        <f>IF(AN288=0,J288,0)</f>
        <v>0</v>
      </c>
      <c r="AK288" s="6">
        <f>IF(AN288=15,J288,0)</f>
        <v>0</v>
      </c>
      <c r="AL288" s="6">
        <f>IF(AN288=21,J288,0)</f>
        <v>0</v>
      </c>
      <c r="AN288" s="11">
        <v>21</v>
      </c>
      <c r="AO288" s="11">
        <f>G288*0.109752925877763</f>
        <v>0</v>
      </c>
      <c r="AP288" s="11">
        <f>G288*(1-0.109752925877763)</f>
        <v>0</v>
      </c>
      <c r="AQ288" s="12" t="s">
        <v>7</v>
      </c>
      <c r="AV288" s="11">
        <f>AW288+AX288</f>
        <v>0</v>
      </c>
      <c r="AW288" s="11">
        <f>F288*AO288</f>
        <v>0</v>
      </c>
      <c r="AX288" s="11">
        <f>F288*AP288</f>
        <v>0</v>
      </c>
      <c r="AY288" s="14" t="s">
        <v>619</v>
      </c>
      <c r="AZ288" s="14" t="s">
        <v>628</v>
      </c>
      <c r="BA288" s="8" t="s">
        <v>629</v>
      </c>
      <c r="BC288" s="11">
        <f>AW288+AX288</f>
        <v>0</v>
      </c>
      <c r="BD288" s="11">
        <f>G288/(100-BE288)*100</f>
        <v>0</v>
      </c>
      <c r="BE288" s="11">
        <v>0</v>
      </c>
      <c r="BF288" s="11">
        <f>L288</f>
        <v>0.08928</v>
      </c>
      <c r="BH288" s="6">
        <f>F288*AO288</f>
        <v>0</v>
      </c>
      <c r="BI288" s="6">
        <f>F288*AP288</f>
        <v>0</v>
      </c>
      <c r="BJ288" s="6">
        <f>F288*G288</f>
        <v>0</v>
      </c>
      <c r="BK288" s="6" t="s">
        <v>634</v>
      </c>
      <c r="BL288" s="11">
        <v>95</v>
      </c>
    </row>
    <row r="289" spans="1:14" ht="12.75">
      <c r="A289" s="131"/>
      <c r="B289" s="132"/>
      <c r="C289" s="133" t="s">
        <v>14</v>
      </c>
      <c r="D289" s="134"/>
      <c r="E289" s="132"/>
      <c r="F289" s="135">
        <v>8</v>
      </c>
      <c r="G289" s="173"/>
      <c r="H289" s="132"/>
      <c r="I289" s="132"/>
      <c r="J289" s="132"/>
      <c r="K289" s="132"/>
      <c r="L289" s="132"/>
      <c r="M289" s="136"/>
      <c r="N289" s="1"/>
    </row>
    <row r="290" spans="1:64" ht="12.75">
      <c r="A290" s="145" t="s">
        <v>111</v>
      </c>
      <c r="B290" s="146" t="s">
        <v>247</v>
      </c>
      <c r="C290" s="253" t="s">
        <v>493</v>
      </c>
      <c r="D290" s="254"/>
      <c r="E290" s="146" t="s">
        <v>564</v>
      </c>
      <c r="F290" s="147">
        <v>8</v>
      </c>
      <c r="G290" s="172"/>
      <c r="H290" s="148">
        <f>F290*AO290</f>
        <v>0</v>
      </c>
      <c r="I290" s="148">
        <f>F290*AP290</f>
        <v>0</v>
      </c>
      <c r="J290" s="148">
        <f>F290*G290</f>
        <v>0</v>
      </c>
      <c r="K290" s="148">
        <v>0.00125</v>
      </c>
      <c r="L290" s="148">
        <f>F290*K290</f>
        <v>0.01</v>
      </c>
      <c r="M290" s="149" t="s">
        <v>593</v>
      </c>
      <c r="N290" s="1"/>
      <c r="Z290" s="11">
        <f>IF(AQ290="5",BJ290,0)</f>
        <v>0</v>
      </c>
      <c r="AB290" s="11">
        <f>IF(AQ290="1",BH290,0)</f>
        <v>0</v>
      </c>
      <c r="AC290" s="11">
        <f>IF(AQ290="1",BI290,0)</f>
        <v>0</v>
      </c>
      <c r="AD290" s="11">
        <f>IF(AQ290="7",BH290,0)</f>
        <v>0</v>
      </c>
      <c r="AE290" s="11">
        <f>IF(AQ290="7",BI290,0)</f>
        <v>0</v>
      </c>
      <c r="AF290" s="11">
        <f>IF(AQ290="2",BH290,0)</f>
        <v>0</v>
      </c>
      <c r="AG290" s="11">
        <f>IF(AQ290="2",BI290,0)</f>
        <v>0</v>
      </c>
      <c r="AH290" s="11">
        <f>IF(AQ290="0",BJ290,0)</f>
        <v>0</v>
      </c>
      <c r="AI290" s="8"/>
      <c r="AJ290" s="7">
        <f>IF(AN290=0,J290,0)</f>
        <v>0</v>
      </c>
      <c r="AK290" s="7">
        <f>IF(AN290=15,J290,0)</f>
        <v>0</v>
      </c>
      <c r="AL290" s="7">
        <f>IF(AN290=21,J290,0)</f>
        <v>0</v>
      </c>
      <c r="AN290" s="11">
        <v>21</v>
      </c>
      <c r="AO290" s="11">
        <f>G290*1</f>
        <v>0</v>
      </c>
      <c r="AP290" s="11">
        <f>G290*(1-1)</f>
        <v>0</v>
      </c>
      <c r="AQ290" s="13" t="s">
        <v>7</v>
      </c>
      <c r="AV290" s="11">
        <f>AW290+AX290</f>
        <v>0</v>
      </c>
      <c r="AW290" s="11">
        <f>F290*AO290</f>
        <v>0</v>
      </c>
      <c r="AX290" s="11">
        <f>F290*AP290</f>
        <v>0</v>
      </c>
      <c r="AY290" s="14" t="s">
        <v>619</v>
      </c>
      <c r="AZ290" s="14" t="s">
        <v>628</v>
      </c>
      <c r="BA290" s="8" t="s">
        <v>629</v>
      </c>
      <c r="BC290" s="11">
        <f>AW290+AX290</f>
        <v>0</v>
      </c>
      <c r="BD290" s="11">
        <f>G290/(100-BE290)*100</f>
        <v>0</v>
      </c>
      <c r="BE290" s="11">
        <v>0</v>
      </c>
      <c r="BF290" s="11">
        <f>L290</f>
        <v>0.01</v>
      </c>
      <c r="BH290" s="7">
        <f>F290*AO290</f>
        <v>0</v>
      </c>
      <c r="BI290" s="7">
        <f>F290*AP290</f>
        <v>0</v>
      </c>
      <c r="BJ290" s="7">
        <f>F290*G290</f>
        <v>0</v>
      </c>
      <c r="BK290" s="7" t="s">
        <v>635</v>
      </c>
      <c r="BL290" s="11">
        <v>95</v>
      </c>
    </row>
    <row r="291" spans="1:14" ht="12.75">
      <c r="A291" s="131"/>
      <c r="B291" s="132"/>
      <c r="C291" s="133" t="s">
        <v>14</v>
      </c>
      <c r="D291" s="134"/>
      <c r="E291" s="132"/>
      <c r="F291" s="135">
        <v>8</v>
      </c>
      <c r="G291" s="173"/>
      <c r="H291" s="132"/>
      <c r="I291" s="132"/>
      <c r="J291" s="132"/>
      <c r="K291" s="132"/>
      <c r="L291" s="132"/>
      <c r="M291" s="136"/>
      <c r="N291" s="1"/>
    </row>
    <row r="292" spans="1:14" ht="12.75">
      <c r="A292" s="131"/>
      <c r="B292" s="150" t="s">
        <v>154</v>
      </c>
      <c r="C292" s="255" t="s">
        <v>494</v>
      </c>
      <c r="D292" s="256"/>
      <c r="E292" s="256"/>
      <c r="F292" s="256"/>
      <c r="G292" s="256"/>
      <c r="H292" s="256"/>
      <c r="I292" s="256"/>
      <c r="J292" s="256"/>
      <c r="K292" s="256"/>
      <c r="L292" s="256"/>
      <c r="M292" s="257"/>
      <c r="N292" s="1"/>
    </row>
    <row r="293" spans="1:64" ht="12.75">
      <c r="A293" s="126" t="s">
        <v>112</v>
      </c>
      <c r="B293" s="127" t="s">
        <v>248</v>
      </c>
      <c r="C293" s="242" t="s">
        <v>495</v>
      </c>
      <c r="D293" s="243"/>
      <c r="E293" s="127" t="s">
        <v>564</v>
      </c>
      <c r="F293" s="128">
        <v>17</v>
      </c>
      <c r="G293" s="174"/>
      <c r="H293" s="129">
        <f>F293*AO293</f>
        <v>0</v>
      </c>
      <c r="I293" s="129">
        <f>F293*AP293</f>
        <v>0</v>
      </c>
      <c r="J293" s="129">
        <f>F293*G293</f>
        <v>0</v>
      </c>
      <c r="K293" s="129">
        <v>0.14369</v>
      </c>
      <c r="L293" s="129">
        <f>F293*K293</f>
        <v>2.44273</v>
      </c>
      <c r="M293" s="130" t="s">
        <v>593</v>
      </c>
      <c r="N293" s="1"/>
      <c r="Z293" s="11">
        <f>IF(AQ293="5",BJ293,0)</f>
        <v>0</v>
      </c>
      <c r="AB293" s="11">
        <f>IF(AQ293="1",BH293,0)</f>
        <v>0</v>
      </c>
      <c r="AC293" s="11">
        <f>IF(AQ293="1",BI293,0)</f>
        <v>0</v>
      </c>
      <c r="AD293" s="11">
        <f>IF(AQ293="7",BH293,0)</f>
        <v>0</v>
      </c>
      <c r="AE293" s="11">
        <f>IF(AQ293="7",BI293,0)</f>
        <v>0</v>
      </c>
      <c r="AF293" s="11">
        <f>IF(AQ293="2",BH293,0)</f>
        <v>0</v>
      </c>
      <c r="AG293" s="11">
        <f>IF(AQ293="2",BI293,0)</f>
        <v>0</v>
      </c>
      <c r="AH293" s="11">
        <f>IF(AQ293="0",BJ293,0)</f>
        <v>0</v>
      </c>
      <c r="AI293" s="8"/>
      <c r="AJ293" s="6">
        <f>IF(AN293=0,J293,0)</f>
        <v>0</v>
      </c>
      <c r="AK293" s="6">
        <f>IF(AN293=15,J293,0)</f>
        <v>0</v>
      </c>
      <c r="AL293" s="6">
        <f>IF(AN293=21,J293,0)</f>
        <v>0</v>
      </c>
      <c r="AN293" s="11">
        <v>21</v>
      </c>
      <c r="AO293" s="11">
        <f>G293*0.0996111462951235</f>
        <v>0</v>
      </c>
      <c r="AP293" s="11">
        <f>G293*(1-0.0996111462951235)</f>
        <v>0</v>
      </c>
      <c r="AQ293" s="12" t="s">
        <v>7</v>
      </c>
      <c r="AV293" s="11">
        <f>AW293+AX293</f>
        <v>0</v>
      </c>
      <c r="AW293" s="11">
        <f>F293*AO293</f>
        <v>0</v>
      </c>
      <c r="AX293" s="11">
        <f>F293*AP293</f>
        <v>0</v>
      </c>
      <c r="AY293" s="14" t="s">
        <v>619</v>
      </c>
      <c r="AZ293" s="14" t="s">
        <v>628</v>
      </c>
      <c r="BA293" s="8" t="s">
        <v>629</v>
      </c>
      <c r="BC293" s="11">
        <f>AW293+AX293</f>
        <v>0</v>
      </c>
      <c r="BD293" s="11">
        <f>G293/(100-BE293)*100</f>
        <v>0</v>
      </c>
      <c r="BE293" s="11">
        <v>0</v>
      </c>
      <c r="BF293" s="11">
        <f>L293</f>
        <v>2.44273</v>
      </c>
      <c r="BH293" s="6">
        <f>F293*AO293</f>
        <v>0</v>
      </c>
      <c r="BI293" s="6">
        <f>F293*AP293</f>
        <v>0</v>
      </c>
      <c r="BJ293" s="6">
        <f>F293*G293</f>
        <v>0</v>
      </c>
      <c r="BK293" s="6" t="s">
        <v>634</v>
      </c>
      <c r="BL293" s="11">
        <v>95</v>
      </c>
    </row>
    <row r="294" spans="1:14" ht="12.75">
      <c r="A294" s="131"/>
      <c r="B294" s="132"/>
      <c r="C294" s="133" t="s">
        <v>23</v>
      </c>
      <c r="D294" s="134" t="s">
        <v>558</v>
      </c>
      <c r="E294" s="132"/>
      <c r="F294" s="135">
        <v>17</v>
      </c>
      <c r="G294" s="173"/>
      <c r="H294" s="132"/>
      <c r="I294" s="132"/>
      <c r="J294" s="132"/>
      <c r="K294" s="132"/>
      <c r="L294" s="132"/>
      <c r="M294" s="136"/>
      <c r="N294" s="1"/>
    </row>
    <row r="295" spans="1:64" ht="12.75">
      <c r="A295" s="126" t="s">
        <v>113</v>
      </c>
      <c r="B295" s="127" t="s">
        <v>249</v>
      </c>
      <c r="C295" s="242" t="s">
        <v>496</v>
      </c>
      <c r="D295" s="243"/>
      <c r="E295" s="127" t="s">
        <v>567</v>
      </c>
      <c r="F295" s="128">
        <v>14.4</v>
      </c>
      <c r="G295" s="174"/>
      <c r="H295" s="129">
        <f>F295*AO295</f>
        <v>0</v>
      </c>
      <c r="I295" s="129">
        <f>F295*AP295</f>
        <v>0</v>
      </c>
      <c r="J295" s="129">
        <f>F295*G295</f>
        <v>0</v>
      </c>
      <c r="K295" s="129">
        <v>0</v>
      </c>
      <c r="L295" s="129">
        <f>F295*K295</f>
        <v>0</v>
      </c>
      <c r="M295" s="130" t="s">
        <v>593</v>
      </c>
      <c r="N295" s="1"/>
      <c r="Z295" s="11">
        <f>IF(AQ295="5",BJ295,0)</f>
        <v>0</v>
      </c>
      <c r="AB295" s="11">
        <f>IF(AQ295="1",BH295,0)</f>
        <v>0</v>
      </c>
      <c r="AC295" s="11">
        <f>IF(AQ295="1",BI295,0)</f>
        <v>0</v>
      </c>
      <c r="AD295" s="11">
        <f>IF(AQ295="7",BH295,0)</f>
        <v>0</v>
      </c>
      <c r="AE295" s="11">
        <f>IF(AQ295="7",BI295,0)</f>
        <v>0</v>
      </c>
      <c r="AF295" s="11">
        <f>IF(AQ295="2",BH295,0)</f>
        <v>0</v>
      </c>
      <c r="AG295" s="11">
        <f>IF(AQ295="2",BI295,0)</f>
        <v>0</v>
      </c>
      <c r="AH295" s="11">
        <f>IF(AQ295="0",BJ295,0)</f>
        <v>0</v>
      </c>
      <c r="AI295" s="8"/>
      <c r="AJ295" s="6">
        <f>IF(AN295=0,J295,0)</f>
        <v>0</v>
      </c>
      <c r="AK295" s="6">
        <f>IF(AN295=15,J295,0)</f>
        <v>0</v>
      </c>
      <c r="AL295" s="6">
        <f>IF(AN295=21,J295,0)</f>
        <v>0</v>
      </c>
      <c r="AN295" s="11">
        <v>21</v>
      </c>
      <c r="AO295" s="11">
        <f>G295*0</f>
        <v>0</v>
      </c>
      <c r="AP295" s="11">
        <f>G295*(1-0)</f>
        <v>0</v>
      </c>
      <c r="AQ295" s="12" t="s">
        <v>7</v>
      </c>
      <c r="AV295" s="11">
        <f>AW295+AX295</f>
        <v>0</v>
      </c>
      <c r="AW295" s="11">
        <f>F295*AO295</f>
        <v>0</v>
      </c>
      <c r="AX295" s="11">
        <f>F295*AP295</f>
        <v>0</v>
      </c>
      <c r="AY295" s="14" t="s">
        <v>619</v>
      </c>
      <c r="AZ295" s="14" t="s">
        <v>628</v>
      </c>
      <c r="BA295" s="8" t="s">
        <v>629</v>
      </c>
      <c r="BC295" s="11">
        <f>AW295+AX295</f>
        <v>0</v>
      </c>
      <c r="BD295" s="11">
        <f>G295/(100-BE295)*100</f>
        <v>0</v>
      </c>
      <c r="BE295" s="11">
        <v>0</v>
      </c>
      <c r="BF295" s="11">
        <f>L295</f>
        <v>0</v>
      </c>
      <c r="BH295" s="6">
        <f>F295*AO295</f>
        <v>0</v>
      </c>
      <c r="BI295" s="6">
        <f>F295*AP295</f>
        <v>0</v>
      </c>
      <c r="BJ295" s="6">
        <f>F295*G295</f>
        <v>0</v>
      </c>
      <c r="BK295" s="6" t="s">
        <v>634</v>
      </c>
      <c r="BL295" s="11">
        <v>95</v>
      </c>
    </row>
    <row r="296" spans="1:14" ht="12.75">
      <c r="A296" s="131"/>
      <c r="B296" s="132"/>
      <c r="C296" s="133" t="s">
        <v>497</v>
      </c>
      <c r="D296" s="134" t="s">
        <v>559</v>
      </c>
      <c r="E296" s="132"/>
      <c r="F296" s="135">
        <v>14.4</v>
      </c>
      <c r="G296" s="173"/>
      <c r="H296" s="132"/>
      <c r="I296" s="132"/>
      <c r="J296" s="132"/>
      <c r="K296" s="132"/>
      <c r="L296" s="132"/>
      <c r="M296" s="136"/>
      <c r="N296" s="1"/>
    </row>
    <row r="297" spans="1:64" ht="12.75">
      <c r="A297" s="126" t="s">
        <v>114</v>
      </c>
      <c r="B297" s="127" t="s">
        <v>250</v>
      </c>
      <c r="C297" s="242" t="s">
        <v>498</v>
      </c>
      <c r="D297" s="243"/>
      <c r="E297" s="127" t="s">
        <v>565</v>
      </c>
      <c r="F297" s="128">
        <v>2.304</v>
      </c>
      <c r="G297" s="174"/>
      <c r="H297" s="129">
        <f>F297*AO297</f>
        <v>0</v>
      </c>
      <c r="I297" s="129">
        <f>F297*AP297</f>
        <v>0</v>
      </c>
      <c r="J297" s="129">
        <f>F297*G297</f>
        <v>0</v>
      </c>
      <c r="K297" s="129">
        <v>0.001</v>
      </c>
      <c r="L297" s="129">
        <f>F297*K297</f>
        <v>0.002304</v>
      </c>
      <c r="M297" s="130" t="s">
        <v>593</v>
      </c>
      <c r="N297" s="1"/>
      <c r="Z297" s="11">
        <f>IF(AQ297="5",BJ297,0)</f>
        <v>0</v>
      </c>
      <c r="AB297" s="11">
        <f>IF(AQ297="1",BH297,0)</f>
        <v>0</v>
      </c>
      <c r="AC297" s="11">
        <f>IF(AQ297="1",BI297,0)</f>
        <v>0</v>
      </c>
      <c r="AD297" s="11">
        <f>IF(AQ297="7",BH297,0)</f>
        <v>0</v>
      </c>
      <c r="AE297" s="11">
        <f>IF(AQ297="7",BI297,0)</f>
        <v>0</v>
      </c>
      <c r="AF297" s="11">
        <f>IF(AQ297="2",BH297,0)</f>
        <v>0</v>
      </c>
      <c r="AG297" s="11">
        <f>IF(AQ297="2",BI297,0)</f>
        <v>0</v>
      </c>
      <c r="AH297" s="11">
        <f>IF(AQ297="0",BJ297,0)</f>
        <v>0</v>
      </c>
      <c r="AI297" s="8"/>
      <c r="AJ297" s="6">
        <f>IF(AN297=0,J297,0)</f>
        <v>0</v>
      </c>
      <c r="AK297" s="6">
        <f>IF(AN297=15,J297,0)</f>
        <v>0</v>
      </c>
      <c r="AL297" s="6">
        <f>IF(AN297=21,J297,0)</f>
        <v>0</v>
      </c>
      <c r="AN297" s="11">
        <v>21</v>
      </c>
      <c r="AO297" s="11">
        <f>G297*0.658618125856638</f>
        <v>0</v>
      </c>
      <c r="AP297" s="11">
        <f>G297*(1-0.658618125856638)</f>
        <v>0</v>
      </c>
      <c r="AQ297" s="12" t="s">
        <v>7</v>
      </c>
      <c r="AV297" s="11">
        <f>AW297+AX297</f>
        <v>0</v>
      </c>
      <c r="AW297" s="11">
        <f>F297*AO297</f>
        <v>0</v>
      </c>
      <c r="AX297" s="11">
        <f>F297*AP297</f>
        <v>0</v>
      </c>
      <c r="AY297" s="14" t="s">
        <v>619</v>
      </c>
      <c r="AZ297" s="14" t="s">
        <v>628</v>
      </c>
      <c r="BA297" s="8" t="s">
        <v>629</v>
      </c>
      <c r="BC297" s="11">
        <f>AW297+AX297</f>
        <v>0</v>
      </c>
      <c r="BD297" s="11">
        <f>G297/(100-BE297)*100</f>
        <v>0</v>
      </c>
      <c r="BE297" s="11">
        <v>0</v>
      </c>
      <c r="BF297" s="11">
        <f>L297</f>
        <v>0.002304</v>
      </c>
      <c r="BH297" s="6">
        <f>F297*AO297</f>
        <v>0</v>
      </c>
      <c r="BI297" s="6">
        <f>F297*AP297</f>
        <v>0</v>
      </c>
      <c r="BJ297" s="6">
        <f>F297*G297</f>
        <v>0</v>
      </c>
      <c r="BK297" s="6" t="s">
        <v>634</v>
      </c>
      <c r="BL297" s="11">
        <v>95</v>
      </c>
    </row>
    <row r="298" spans="1:14" ht="12.75">
      <c r="A298" s="131"/>
      <c r="B298" s="132"/>
      <c r="C298" s="133" t="s">
        <v>499</v>
      </c>
      <c r="D298" s="134" t="s">
        <v>559</v>
      </c>
      <c r="E298" s="132"/>
      <c r="F298" s="135">
        <v>2.304</v>
      </c>
      <c r="G298" s="173"/>
      <c r="H298" s="132"/>
      <c r="I298" s="132"/>
      <c r="J298" s="132"/>
      <c r="K298" s="132"/>
      <c r="L298" s="132"/>
      <c r="M298" s="136"/>
      <c r="N298" s="1"/>
    </row>
    <row r="299" spans="1:64" ht="12.75">
      <c r="A299" s="126" t="s">
        <v>115</v>
      </c>
      <c r="B299" s="127" t="s">
        <v>251</v>
      </c>
      <c r="C299" s="242" t="s">
        <v>500</v>
      </c>
      <c r="D299" s="243"/>
      <c r="E299" s="127" t="s">
        <v>565</v>
      </c>
      <c r="F299" s="128">
        <v>12</v>
      </c>
      <c r="G299" s="174"/>
      <c r="H299" s="129">
        <f>F299*AO299</f>
        <v>0</v>
      </c>
      <c r="I299" s="129">
        <f>F299*AP299</f>
        <v>0</v>
      </c>
      <c r="J299" s="129">
        <f>F299*G299</f>
        <v>0</v>
      </c>
      <c r="K299" s="129">
        <v>0.0094</v>
      </c>
      <c r="L299" s="129">
        <f>F299*K299</f>
        <v>0.11280000000000001</v>
      </c>
      <c r="M299" s="130" t="s">
        <v>593</v>
      </c>
      <c r="N299" s="1"/>
      <c r="Z299" s="11">
        <f>IF(AQ299="5",BJ299,0)</f>
        <v>0</v>
      </c>
      <c r="AB299" s="11">
        <f>IF(AQ299="1",BH299,0)</f>
        <v>0</v>
      </c>
      <c r="AC299" s="11">
        <f>IF(AQ299="1",BI299,0)</f>
        <v>0</v>
      </c>
      <c r="AD299" s="11">
        <f>IF(AQ299="7",BH299,0)</f>
        <v>0</v>
      </c>
      <c r="AE299" s="11">
        <f>IF(AQ299="7",BI299,0)</f>
        <v>0</v>
      </c>
      <c r="AF299" s="11">
        <f>IF(AQ299="2",BH299,0)</f>
        <v>0</v>
      </c>
      <c r="AG299" s="11">
        <f>IF(AQ299="2",BI299,0)</f>
        <v>0</v>
      </c>
      <c r="AH299" s="11">
        <f>IF(AQ299="0",BJ299,0)</f>
        <v>0</v>
      </c>
      <c r="AI299" s="8"/>
      <c r="AJ299" s="6">
        <f>IF(AN299=0,J299,0)</f>
        <v>0</v>
      </c>
      <c r="AK299" s="6">
        <f>IF(AN299=15,J299,0)</f>
        <v>0</v>
      </c>
      <c r="AL299" s="6">
        <f>IF(AN299=21,J299,0)</f>
        <v>0</v>
      </c>
      <c r="AN299" s="11">
        <v>21</v>
      </c>
      <c r="AO299" s="11">
        <f>G299*0.199439252336449</f>
        <v>0</v>
      </c>
      <c r="AP299" s="11">
        <f>G299*(1-0.199439252336449)</f>
        <v>0</v>
      </c>
      <c r="AQ299" s="12" t="s">
        <v>7</v>
      </c>
      <c r="AV299" s="11">
        <f>AW299+AX299</f>
        <v>0</v>
      </c>
      <c r="AW299" s="11">
        <f>F299*AO299</f>
        <v>0</v>
      </c>
      <c r="AX299" s="11">
        <f>F299*AP299</f>
        <v>0</v>
      </c>
      <c r="AY299" s="14" t="s">
        <v>619</v>
      </c>
      <c r="AZ299" s="14" t="s">
        <v>628</v>
      </c>
      <c r="BA299" s="8" t="s">
        <v>629</v>
      </c>
      <c r="BC299" s="11">
        <f>AW299+AX299</f>
        <v>0</v>
      </c>
      <c r="BD299" s="11">
        <f>G299/(100-BE299)*100</f>
        <v>0</v>
      </c>
      <c r="BE299" s="11">
        <v>0</v>
      </c>
      <c r="BF299" s="11">
        <f>L299</f>
        <v>0.11280000000000001</v>
      </c>
      <c r="BH299" s="6">
        <f>F299*AO299</f>
        <v>0</v>
      </c>
      <c r="BI299" s="6">
        <f>F299*AP299</f>
        <v>0</v>
      </c>
      <c r="BJ299" s="6">
        <f>F299*G299</f>
        <v>0</v>
      </c>
      <c r="BK299" s="6" t="s">
        <v>634</v>
      </c>
      <c r="BL299" s="11">
        <v>95</v>
      </c>
    </row>
    <row r="300" spans="1:14" ht="12.75">
      <c r="A300" s="131"/>
      <c r="B300" s="132"/>
      <c r="C300" s="133" t="s">
        <v>501</v>
      </c>
      <c r="D300" s="134"/>
      <c r="E300" s="132"/>
      <c r="F300" s="135">
        <v>12</v>
      </c>
      <c r="G300" s="173"/>
      <c r="H300" s="132"/>
      <c r="I300" s="132"/>
      <c r="J300" s="132"/>
      <c r="K300" s="132"/>
      <c r="L300" s="132"/>
      <c r="M300" s="136"/>
      <c r="N300" s="1"/>
    </row>
    <row r="301" spans="1:64" ht="12.75">
      <c r="A301" s="126" t="s">
        <v>116</v>
      </c>
      <c r="B301" s="127" t="s">
        <v>252</v>
      </c>
      <c r="C301" s="242" t="s">
        <v>502</v>
      </c>
      <c r="D301" s="243"/>
      <c r="E301" s="127" t="s">
        <v>565</v>
      </c>
      <c r="F301" s="128">
        <v>12</v>
      </c>
      <c r="G301" s="174"/>
      <c r="H301" s="129">
        <f>F301*AO301</f>
        <v>0</v>
      </c>
      <c r="I301" s="129">
        <f>F301*AP301</f>
        <v>0</v>
      </c>
      <c r="J301" s="129">
        <f>F301*G301</f>
        <v>0</v>
      </c>
      <c r="K301" s="129">
        <v>0</v>
      </c>
      <c r="L301" s="129">
        <f>F301*K301</f>
        <v>0</v>
      </c>
      <c r="M301" s="130" t="s">
        <v>593</v>
      </c>
      <c r="N301" s="1"/>
      <c r="Z301" s="11">
        <f>IF(AQ301="5",BJ301,0)</f>
        <v>0</v>
      </c>
      <c r="AB301" s="11">
        <f>IF(AQ301="1",BH301,0)</f>
        <v>0</v>
      </c>
      <c r="AC301" s="11">
        <f>IF(AQ301="1",BI301,0)</f>
        <v>0</v>
      </c>
      <c r="AD301" s="11">
        <f>IF(AQ301="7",BH301,0)</f>
        <v>0</v>
      </c>
      <c r="AE301" s="11">
        <f>IF(AQ301="7",BI301,0)</f>
        <v>0</v>
      </c>
      <c r="AF301" s="11">
        <f>IF(AQ301="2",BH301,0)</f>
        <v>0</v>
      </c>
      <c r="AG301" s="11">
        <f>IF(AQ301="2",BI301,0)</f>
        <v>0</v>
      </c>
      <c r="AH301" s="11">
        <f>IF(AQ301="0",BJ301,0)</f>
        <v>0</v>
      </c>
      <c r="AI301" s="8"/>
      <c r="AJ301" s="6">
        <f>IF(AN301=0,J301,0)</f>
        <v>0</v>
      </c>
      <c r="AK301" s="6">
        <f>IF(AN301=15,J301,0)</f>
        <v>0</v>
      </c>
      <c r="AL301" s="6">
        <f>IF(AN301=21,J301,0)</f>
        <v>0</v>
      </c>
      <c r="AN301" s="11">
        <v>21</v>
      </c>
      <c r="AO301" s="11">
        <f>G301*0</f>
        <v>0</v>
      </c>
      <c r="AP301" s="11">
        <f>G301*(1-0)</f>
        <v>0</v>
      </c>
      <c r="AQ301" s="12" t="s">
        <v>7</v>
      </c>
      <c r="AV301" s="11">
        <f>AW301+AX301</f>
        <v>0</v>
      </c>
      <c r="AW301" s="11">
        <f>F301*AO301</f>
        <v>0</v>
      </c>
      <c r="AX301" s="11">
        <f>F301*AP301</f>
        <v>0</v>
      </c>
      <c r="AY301" s="14" t="s">
        <v>619</v>
      </c>
      <c r="AZ301" s="14" t="s">
        <v>628</v>
      </c>
      <c r="BA301" s="8" t="s">
        <v>629</v>
      </c>
      <c r="BC301" s="11">
        <f>AW301+AX301</f>
        <v>0</v>
      </c>
      <c r="BD301" s="11">
        <f>G301/(100-BE301)*100</f>
        <v>0</v>
      </c>
      <c r="BE301" s="11">
        <v>0</v>
      </c>
      <c r="BF301" s="11">
        <f>L301</f>
        <v>0</v>
      </c>
      <c r="BH301" s="6">
        <f>F301*AO301</f>
        <v>0</v>
      </c>
      <c r="BI301" s="6">
        <f>F301*AP301</f>
        <v>0</v>
      </c>
      <c r="BJ301" s="6">
        <f>F301*G301</f>
        <v>0</v>
      </c>
      <c r="BK301" s="6" t="s">
        <v>634</v>
      </c>
      <c r="BL301" s="11">
        <v>95</v>
      </c>
    </row>
    <row r="302" spans="1:14" ht="12.75">
      <c r="A302" s="131"/>
      <c r="B302" s="132"/>
      <c r="C302" s="133" t="s">
        <v>501</v>
      </c>
      <c r="D302" s="134"/>
      <c r="E302" s="132"/>
      <c r="F302" s="135">
        <v>12</v>
      </c>
      <c r="G302" s="173"/>
      <c r="H302" s="132"/>
      <c r="I302" s="132"/>
      <c r="J302" s="132"/>
      <c r="K302" s="132"/>
      <c r="L302" s="132"/>
      <c r="M302" s="136"/>
      <c r="N302" s="1"/>
    </row>
    <row r="303" spans="1:64" ht="12.75">
      <c r="A303" s="126" t="s">
        <v>117</v>
      </c>
      <c r="B303" s="127" t="s">
        <v>253</v>
      </c>
      <c r="C303" s="242" t="s">
        <v>503</v>
      </c>
      <c r="D303" s="243"/>
      <c r="E303" s="127" t="s">
        <v>568</v>
      </c>
      <c r="F303" s="128">
        <v>247.384</v>
      </c>
      <c r="G303" s="174"/>
      <c r="H303" s="129">
        <f>F303*AO303</f>
        <v>0</v>
      </c>
      <c r="I303" s="129">
        <f>F303*AP303</f>
        <v>0</v>
      </c>
      <c r="J303" s="129">
        <f>F303*G303</f>
        <v>0</v>
      </c>
      <c r="K303" s="129">
        <v>0</v>
      </c>
      <c r="L303" s="129">
        <f>F303*K303</f>
        <v>0</v>
      </c>
      <c r="M303" s="130" t="s">
        <v>593</v>
      </c>
      <c r="N303" s="1"/>
      <c r="Z303" s="11">
        <f>IF(AQ303="5",BJ303,0)</f>
        <v>0</v>
      </c>
      <c r="AB303" s="11">
        <f>IF(AQ303="1",BH303,0)</f>
        <v>0</v>
      </c>
      <c r="AC303" s="11">
        <f>IF(AQ303="1",BI303,0)</f>
        <v>0</v>
      </c>
      <c r="AD303" s="11">
        <f>IF(AQ303="7",BH303,0)</f>
        <v>0</v>
      </c>
      <c r="AE303" s="11">
        <f>IF(AQ303="7",BI303,0)</f>
        <v>0</v>
      </c>
      <c r="AF303" s="11">
        <f>IF(AQ303="2",BH303,0)</f>
        <v>0</v>
      </c>
      <c r="AG303" s="11">
        <f>IF(AQ303="2",BI303,0)</f>
        <v>0</v>
      </c>
      <c r="AH303" s="11">
        <f>IF(AQ303="0",BJ303,0)</f>
        <v>0</v>
      </c>
      <c r="AI303" s="8"/>
      <c r="AJ303" s="6">
        <f>IF(AN303=0,J303,0)</f>
        <v>0</v>
      </c>
      <c r="AK303" s="6">
        <f>IF(AN303=15,J303,0)</f>
        <v>0</v>
      </c>
      <c r="AL303" s="6">
        <f>IF(AN303=21,J303,0)</f>
        <v>0</v>
      </c>
      <c r="AN303" s="11">
        <v>21</v>
      </c>
      <c r="AO303" s="11">
        <f>G303*0</f>
        <v>0</v>
      </c>
      <c r="AP303" s="11">
        <f>G303*(1-0)</f>
        <v>0</v>
      </c>
      <c r="AQ303" s="12" t="s">
        <v>11</v>
      </c>
      <c r="AV303" s="11">
        <f>AW303+AX303</f>
        <v>0</v>
      </c>
      <c r="AW303" s="11">
        <f>F303*AO303</f>
        <v>0</v>
      </c>
      <c r="AX303" s="11">
        <f>F303*AP303</f>
        <v>0</v>
      </c>
      <c r="AY303" s="14" t="s">
        <v>619</v>
      </c>
      <c r="AZ303" s="14" t="s">
        <v>628</v>
      </c>
      <c r="BA303" s="8" t="s">
        <v>629</v>
      </c>
      <c r="BC303" s="11">
        <f>AW303+AX303</f>
        <v>0</v>
      </c>
      <c r="BD303" s="11">
        <f>G303/(100-BE303)*100</f>
        <v>0</v>
      </c>
      <c r="BE303" s="11">
        <v>0</v>
      </c>
      <c r="BF303" s="11">
        <f>L303</f>
        <v>0</v>
      </c>
      <c r="BH303" s="6">
        <f>F303*AO303</f>
        <v>0</v>
      </c>
      <c r="BI303" s="6">
        <f>F303*AP303</f>
        <v>0</v>
      </c>
      <c r="BJ303" s="6">
        <f>F303*G303</f>
        <v>0</v>
      </c>
      <c r="BK303" s="6" t="s">
        <v>634</v>
      </c>
      <c r="BL303" s="11">
        <v>95</v>
      </c>
    </row>
    <row r="304" spans="1:47" ht="12.75">
      <c r="A304" s="137"/>
      <c r="B304" s="138" t="s">
        <v>102</v>
      </c>
      <c r="C304" s="244" t="s">
        <v>504</v>
      </c>
      <c r="D304" s="245"/>
      <c r="E304" s="139" t="s">
        <v>6</v>
      </c>
      <c r="F304" s="139" t="s">
        <v>6</v>
      </c>
      <c r="G304" s="139" t="s">
        <v>6</v>
      </c>
      <c r="H304" s="140">
        <f>SUM(H305:H331)</f>
        <v>0</v>
      </c>
      <c r="I304" s="140">
        <f>SUM(I305:I331)</f>
        <v>0</v>
      </c>
      <c r="J304" s="140">
        <f>SUM(J305:J331)</f>
        <v>0</v>
      </c>
      <c r="K304" s="141"/>
      <c r="L304" s="140">
        <f>SUM(L305:L331)</f>
        <v>566.5929169999999</v>
      </c>
      <c r="M304" s="142"/>
      <c r="N304" s="1"/>
      <c r="AI304" s="8"/>
      <c r="AS304" s="16">
        <f>SUM(AJ305:AJ331)</f>
        <v>0</v>
      </c>
      <c r="AT304" s="16">
        <f>SUM(AK305:AK331)</f>
        <v>0</v>
      </c>
      <c r="AU304" s="16">
        <f>SUM(AL305:AL331)</f>
        <v>0</v>
      </c>
    </row>
    <row r="305" spans="1:64" ht="12.75">
      <c r="A305" s="126" t="s">
        <v>118</v>
      </c>
      <c r="B305" s="127" t="s">
        <v>254</v>
      </c>
      <c r="C305" s="242" t="s">
        <v>505</v>
      </c>
      <c r="D305" s="243"/>
      <c r="E305" s="127" t="s">
        <v>566</v>
      </c>
      <c r="F305" s="128">
        <v>168.714</v>
      </c>
      <c r="G305" s="174"/>
      <c r="H305" s="129">
        <f>F305*AO305</f>
        <v>0</v>
      </c>
      <c r="I305" s="129">
        <f>F305*AP305</f>
        <v>0</v>
      </c>
      <c r="J305" s="129">
        <f>F305*G305</f>
        <v>0</v>
      </c>
      <c r="K305" s="129">
        <v>1.6</v>
      </c>
      <c r="L305" s="129">
        <f>F305*K305</f>
        <v>269.9424</v>
      </c>
      <c r="M305" s="130" t="s">
        <v>593</v>
      </c>
      <c r="N305" s="1"/>
      <c r="Z305" s="11">
        <f>IF(AQ305="5",BJ305,0)</f>
        <v>0</v>
      </c>
      <c r="AB305" s="11">
        <f>IF(AQ305="1",BH305,0)</f>
        <v>0</v>
      </c>
      <c r="AC305" s="11">
        <f>IF(AQ305="1",BI305,0)</f>
        <v>0</v>
      </c>
      <c r="AD305" s="11">
        <f>IF(AQ305="7",BH305,0)</f>
        <v>0</v>
      </c>
      <c r="AE305" s="11">
        <f>IF(AQ305="7",BI305,0)</f>
        <v>0</v>
      </c>
      <c r="AF305" s="11">
        <f>IF(AQ305="2",BH305,0)</f>
        <v>0</v>
      </c>
      <c r="AG305" s="11">
        <f>IF(AQ305="2",BI305,0)</f>
        <v>0</v>
      </c>
      <c r="AH305" s="11">
        <f>IF(AQ305="0",BJ305,0)</f>
        <v>0</v>
      </c>
      <c r="AI305" s="8"/>
      <c r="AJ305" s="6">
        <f>IF(AN305=0,J305,0)</f>
        <v>0</v>
      </c>
      <c r="AK305" s="6">
        <f>IF(AN305=15,J305,0)</f>
        <v>0</v>
      </c>
      <c r="AL305" s="6">
        <f>IF(AN305=21,J305,0)</f>
        <v>0</v>
      </c>
      <c r="AN305" s="11">
        <v>21</v>
      </c>
      <c r="AO305" s="11">
        <f>G305*0</f>
        <v>0</v>
      </c>
      <c r="AP305" s="11">
        <f>G305*(1-0)</f>
        <v>0</v>
      </c>
      <c r="AQ305" s="12" t="s">
        <v>7</v>
      </c>
      <c r="AV305" s="11">
        <f>AW305+AX305</f>
        <v>0</v>
      </c>
      <c r="AW305" s="11">
        <f>F305*AO305</f>
        <v>0</v>
      </c>
      <c r="AX305" s="11">
        <f>F305*AP305</f>
        <v>0</v>
      </c>
      <c r="AY305" s="14" t="s">
        <v>620</v>
      </c>
      <c r="AZ305" s="14" t="s">
        <v>628</v>
      </c>
      <c r="BA305" s="8" t="s">
        <v>629</v>
      </c>
      <c r="BC305" s="11">
        <f>AW305+AX305</f>
        <v>0</v>
      </c>
      <c r="BD305" s="11">
        <f>G305/(100-BE305)*100</f>
        <v>0</v>
      </c>
      <c r="BE305" s="11">
        <v>0</v>
      </c>
      <c r="BF305" s="11">
        <f>L305</f>
        <v>269.9424</v>
      </c>
      <c r="BH305" s="6">
        <f>F305*AO305</f>
        <v>0</v>
      </c>
      <c r="BI305" s="6">
        <f>F305*AP305</f>
        <v>0</v>
      </c>
      <c r="BJ305" s="6">
        <f>F305*G305</f>
        <v>0</v>
      </c>
      <c r="BK305" s="6" t="s">
        <v>634</v>
      </c>
      <c r="BL305" s="11">
        <v>96</v>
      </c>
    </row>
    <row r="306" spans="1:14" ht="12.75">
      <c r="A306" s="131"/>
      <c r="B306" s="143" t="s">
        <v>137</v>
      </c>
      <c r="C306" s="250" t="s">
        <v>506</v>
      </c>
      <c r="D306" s="251"/>
      <c r="E306" s="251"/>
      <c r="F306" s="251"/>
      <c r="G306" s="251"/>
      <c r="H306" s="251"/>
      <c r="I306" s="251"/>
      <c r="J306" s="251"/>
      <c r="K306" s="251"/>
      <c r="L306" s="251"/>
      <c r="M306" s="252"/>
      <c r="N306" s="1"/>
    </row>
    <row r="307" spans="1:14" ht="12.75">
      <c r="A307" s="131"/>
      <c r="B307" s="132"/>
      <c r="C307" s="133" t="s">
        <v>507</v>
      </c>
      <c r="D307" s="134" t="s">
        <v>560</v>
      </c>
      <c r="E307" s="132"/>
      <c r="F307" s="135">
        <v>168.714</v>
      </c>
      <c r="G307" s="173"/>
      <c r="H307" s="132"/>
      <c r="I307" s="132"/>
      <c r="J307" s="132"/>
      <c r="K307" s="132"/>
      <c r="L307" s="132"/>
      <c r="M307" s="136"/>
      <c r="N307" s="1"/>
    </row>
    <row r="308" spans="1:64" ht="12.75">
      <c r="A308" s="126" t="s">
        <v>119</v>
      </c>
      <c r="B308" s="127" t="s">
        <v>255</v>
      </c>
      <c r="C308" s="242" t="s">
        <v>508</v>
      </c>
      <c r="D308" s="243"/>
      <c r="E308" s="127" t="s">
        <v>565</v>
      </c>
      <c r="F308" s="128">
        <v>1124.76</v>
      </c>
      <c r="G308" s="174"/>
      <c r="H308" s="129">
        <f>F308*AO308</f>
        <v>0</v>
      </c>
      <c r="I308" s="129">
        <f>F308*AP308</f>
        <v>0</v>
      </c>
      <c r="J308" s="129">
        <f>F308*G308</f>
        <v>0</v>
      </c>
      <c r="K308" s="129">
        <v>0.07</v>
      </c>
      <c r="L308" s="129">
        <f>F308*K308</f>
        <v>78.73320000000001</v>
      </c>
      <c r="M308" s="130" t="s">
        <v>593</v>
      </c>
      <c r="N308" s="1"/>
      <c r="Z308" s="11">
        <f>IF(AQ308="5",BJ308,0)</f>
        <v>0</v>
      </c>
      <c r="AB308" s="11">
        <f>IF(AQ308="1",BH308,0)</f>
        <v>0</v>
      </c>
      <c r="AC308" s="11">
        <f>IF(AQ308="1",BI308,0)</f>
        <v>0</v>
      </c>
      <c r="AD308" s="11">
        <f>IF(AQ308="7",BH308,0)</f>
        <v>0</v>
      </c>
      <c r="AE308" s="11">
        <f>IF(AQ308="7",BI308,0)</f>
        <v>0</v>
      </c>
      <c r="AF308" s="11">
        <f>IF(AQ308="2",BH308,0)</f>
        <v>0</v>
      </c>
      <c r="AG308" s="11">
        <f>IF(AQ308="2",BI308,0)</f>
        <v>0</v>
      </c>
      <c r="AH308" s="11">
        <f>IF(AQ308="0",BJ308,0)</f>
        <v>0</v>
      </c>
      <c r="AI308" s="8"/>
      <c r="AJ308" s="6">
        <f>IF(AN308=0,J308,0)</f>
        <v>0</v>
      </c>
      <c r="AK308" s="6">
        <f>IF(AN308=15,J308,0)</f>
        <v>0</v>
      </c>
      <c r="AL308" s="6">
        <f>IF(AN308=21,J308,0)</f>
        <v>0</v>
      </c>
      <c r="AN308" s="11">
        <v>21</v>
      </c>
      <c r="AO308" s="11">
        <f>G308*0</f>
        <v>0</v>
      </c>
      <c r="AP308" s="11">
        <f>G308*(1-0)</f>
        <v>0</v>
      </c>
      <c r="AQ308" s="12" t="s">
        <v>7</v>
      </c>
      <c r="AV308" s="11">
        <f>AW308+AX308</f>
        <v>0</v>
      </c>
      <c r="AW308" s="11">
        <f>F308*AO308</f>
        <v>0</v>
      </c>
      <c r="AX308" s="11">
        <f>F308*AP308</f>
        <v>0</v>
      </c>
      <c r="AY308" s="14" t="s">
        <v>620</v>
      </c>
      <c r="AZ308" s="14" t="s">
        <v>628</v>
      </c>
      <c r="BA308" s="8" t="s">
        <v>629</v>
      </c>
      <c r="BC308" s="11">
        <f>AW308+AX308</f>
        <v>0</v>
      </c>
      <c r="BD308" s="11">
        <f>G308/(100-BE308)*100</f>
        <v>0</v>
      </c>
      <c r="BE308" s="11">
        <v>0</v>
      </c>
      <c r="BF308" s="11">
        <f>L308</f>
        <v>78.73320000000001</v>
      </c>
      <c r="BH308" s="6">
        <f>F308*AO308</f>
        <v>0</v>
      </c>
      <c r="BI308" s="6">
        <f>F308*AP308</f>
        <v>0</v>
      </c>
      <c r="BJ308" s="6">
        <f>F308*G308</f>
        <v>0</v>
      </c>
      <c r="BK308" s="6" t="s">
        <v>634</v>
      </c>
      <c r="BL308" s="11">
        <v>96</v>
      </c>
    </row>
    <row r="309" spans="1:14" ht="12.75">
      <c r="A309" s="131"/>
      <c r="B309" s="143" t="s">
        <v>137</v>
      </c>
      <c r="C309" s="250" t="s">
        <v>509</v>
      </c>
      <c r="D309" s="251"/>
      <c r="E309" s="251"/>
      <c r="F309" s="251"/>
      <c r="G309" s="251"/>
      <c r="H309" s="251"/>
      <c r="I309" s="251"/>
      <c r="J309" s="251"/>
      <c r="K309" s="251"/>
      <c r="L309" s="251"/>
      <c r="M309" s="252"/>
      <c r="N309" s="1"/>
    </row>
    <row r="310" spans="1:14" ht="12.75">
      <c r="A310" s="131"/>
      <c r="B310" s="132"/>
      <c r="C310" s="133" t="s">
        <v>510</v>
      </c>
      <c r="D310" s="134" t="s">
        <v>541</v>
      </c>
      <c r="E310" s="132"/>
      <c r="F310" s="135">
        <v>1124.76</v>
      </c>
      <c r="G310" s="173"/>
      <c r="H310" s="132"/>
      <c r="I310" s="132"/>
      <c r="J310" s="132"/>
      <c r="K310" s="132"/>
      <c r="L310" s="132"/>
      <c r="M310" s="136"/>
      <c r="N310" s="1"/>
    </row>
    <row r="311" spans="1:64" ht="12.75">
      <c r="A311" s="126" t="s">
        <v>120</v>
      </c>
      <c r="B311" s="127" t="s">
        <v>256</v>
      </c>
      <c r="C311" s="242" t="s">
        <v>511</v>
      </c>
      <c r="D311" s="243"/>
      <c r="E311" s="127" t="s">
        <v>566</v>
      </c>
      <c r="F311" s="128">
        <v>67.486</v>
      </c>
      <c r="G311" s="174"/>
      <c r="H311" s="129">
        <f>F311*AO311</f>
        <v>0</v>
      </c>
      <c r="I311" s="129">
        <f>F311*AP311</f>
        <v>0</v>
      </c>
      <c r="J311" s="129">
        <f>F311*G311</f>
        <v>0</v>
      </c>
      <c r="K311" s="129">
        <v>2.2</v>
      </c>
      <c r="L311" s="129">
        <f>F311*K311</f>
        <v>148.46920000000003</v>
      </c>
      <c r="M311" s="130" t="s">
        <v>593</v>
      </c>
      <c r="N311" s="1"/>
      <c r="Z311" s="11">
        <f>IF(AQ311="5",BJ311,0)</f>
        <v>0</v>
      </c>
      <c r="AB311" s="11">
        <f>IF(AQ311="1",BH311,0)</f>
        <v>0</v>
      </c>
      <c r="AC311" s="11">
        <f>IF(AQ311="1",BI311,0)</f>
        <v>0</v>
      </c>
      <c r="AD311" s="11">
        <f>IF(AQ311="7",BH311,0)</f>
        <v>0</v>
      </c>
      <c r="AE311" s="11">
        <f>IF(AQ311="7",BI311,0)</f>
        <v>0</v>
      </c>
      <c r="AF311" s="11">
        <f>IF(AQ311="2",BH311,0)</f>
        <v>0</v>
      </c>
      <c r="AG311" s="11">
        <f>IF(AQ311="2",BI311,0)</f>
        <v>0</v>
      </c>
      <c r="AH311" s="11">
        <f>IF(AQ311="0",BJ311,0)</f>
        <v>0</v>
      </c>
      <c r="AI311" s="8"/>
      <c r="AJ311" s="6">
        <f>IF(AN311=0,J311,0)</f>
        <v>0</v>
      </c>
      <c r="AK311" s="6">
        <f>IF(AN311=15,J311,0)</f>
        <v>0</v>
      </c>
      <c r="AL311" s="6">
        <f>IF(AN311=21,J311,0)</f>
        <v>0</v>
      </c>
      <c r="AN311" s="11">
        <v>21</v>
      </c>
      <c r="AO311" s="11">
        <f>G311*0</f>
        <v>0</v>
      </c>
      <c r="AP311" s="11">
        <f>G311*(1-0)</f>
        <v>0</v>
      </c>
      <c r="AQ311" s="12" t="s">
        <v>7</v>
      </c>
      <c r="AV311" s="11">
        <f>AW311+AX311</f>
        <v>0</v>
      </c>
      <c r="AW311" s="11">
        <f>F311*AO311</f>
        <v>0</v>
      </c>
      <c r="AX311" s="11">
        <f>F311*AP311</f>
        <v>0</v>
      </c>
      <c r="AY311" s="14" t="s">
        <v>620</v>
      </c>
      <c r="AZ311" s="14" t="s">
        <v>628</v>
      </c>
      <c r="BA311" s="8" t="s">
        <v>629</v>
      </c>
      <c r="BC311" s="11">
        <f>AW311+AX311</f>
        <v>0</v>
      </c>
      <c r="BD311" s="11">
        <f>G311/(100-BE311)*100</f>
        <v>0</v>
      </c>
      <c r="BE311" s="11">
        <v>0</v>
      </c>
      <c r="BF311" s="11">
        <f>L311</f>
        <v>148.46920000000003</v>
      </c>
      <c r="BH311" s="6">
        <f>F311*AO311</f>
        <v>0</v>
      </c>
      <c r="BI311" s="6">
        <f>F311*AP311</f>
        <v>0</v>
      </c>
      <c r="BJ311" s="6">
        <f>F311*G311</f>
        <v>0</v>
      </c>
      <c r="BK311" s="6" t="s">
        <v>634</v>
      </c>
      <c r="BL311" s="11">
        <v>96</v>
      </c>
    </row>
    <row r="312" spans="1:14" ht="12.75">
      <c r="A312" s="131"/>
      <c r="B312" s="143" t="s">
        <v>137</v>
      </c>
      <c r="C312" s="250" t="s">
        <v>512</v>
      </c>
      <c r="D312" s="251"/>
      <c r="E312" s="251"/>
      <c r="F312" s="251"/>
      <c r="G312" s="251"/>
      <c r="H312" s="251"/>
      <c r="I312" s="251"/>
      <c r="J312" s="251"/>
      <c r="K312" s="251"/>
      <c r="L312" s="251"/>
      <c r="M312" s="252"/>
      <c r="N312" s="1"/>
    </row>
    <row r="313" spans="1:14" ht="12.75">
      <c r="A313" s="131"/>
      <c r="B313" s="132"/>
      <c r="C313" s="133" t="s">
        <v>513</v>
      </c>
      <c r="D313" s="134" t="s">
        <v>560</v>
      </c>
      <c r="E313" s="132"/>
      <c r="F313" s="135">
        <v>67.486</v>
      </c>
      <c r="G313" s="173"/>
      <c r="H313" s="132"/>
      <c r="I313" s="132"/>
      <c r="J313" s="132"/>
      <c r="K313" s="132"/>
      <c r="L313" s="132"/>
      <c r="M313" s="136"/>
      <c r="N313" s="1"/>
    </row>
    <row r="314" spans="1:64" ht="12.75">
      <c r="A314" s="126" t="s">
        <v>121</v>
      </c>
      <c r="B314" s="127" t="s">
        <v>257</v>
      </c>
      <c r="C314" s="242" t="s">
        <v>514</v>
      </c>
      <c r="D314" s="243"/>
      <c r="E314" s="127" t="s">
        <v>565</v>
      </c>
      <c r="F314" s="128">
        <v>1434.1</v>
      </c>
      <c r="G314" s="174"/>
      <c r="H314" s="129">
        <f>F314*AO314</f>
        <v>0</v>
      </c>
      <c r="I314" s="129">
        <f>F314*AP314</f>
        <v>0</v>
      </c>
      <c r="J314" s="129">
        <f>F314*G314</f>
        <v>0</v>
      </c>
      <c r="K314" s="129">
        <v>0.0126</v>
      </c>
      <c r="L314" s="129">
        <f>F314*K314</f>
        <v>18.06966</v>
      </c>
      <c r="M314" s="130" t="s">
        <v>593</v>
      </c>
      <c r="N314" s="1"/>
      <c r="Z314" s="11">
        <f>IF(AQ314="5",BJ314,0)</f>
        <v>0</v>
      </c>
      <c r="AB314" s="11">
        <f>IF(AQ314="1",BH314,0)</f>
        <v>0</v>
      </c>
      <c r="AC314" s="11">
        <f>IF(AQ314="1",BI314,0)</f>
        <v>0</v>
      </c>
      <c r="AD314" s="11">
        <f>IF(AQ314="7",BH314,0)</f>
        <v>0</v>
      </c>
      <c r="AE314" s="11">
        <f>IF(AQ314="7",BI314,0)</f>
        <v>0</v>
      </c>
      <c r="AF314" s="11">
        <f>IF(AQ314="2",BH314,0)</f>
        <v>0</v>
      </c>
      <c r="AG314" s="11">
        <f>IF(AQ314="2",BI314,0)</f>
        <v>0</v>
      </c>
      <c r="AH314" s="11">
        <f>IF(AQ314="0",BJ314,0)</f>
        <v>0</v>
      </c>
      <c r="AI314" s="8"/>
      <c r="AJ314" s="6">
        <f>IF(AN314=0,J314,0)</f>
        <v>0</v>
      </c>
      <c r="AK314" s="6">
        <f>IF(AN314=15,J314,0)</f>
        <v>0</v>
      </c>
      <c r="AL314" s="6">
        <f>IF(AN314=21,J314,0)</f>
        <v>0</v>
      </c>
      <c r="AN314" s="11">
        <v>21</v>
      </c>
      <c r="AO314" s="11">
        <f>G314*0</f>
        <v>0</v>
      </c>
      <c r="AP314" s="11">
        <f>G314*(1-0)</f>
        <v>0</v>
      </c>
      <c r="AQ314" s="12" t="s">
        <v>7</v>
      </c>
      <c r="AV314" s="11">
        <f>AW314+AX314</f>
        <v>0</v>
      </c>
      <c r="AW314" s="11">
        <f>F314*AO314</f>
        <v>0</v>
      </c>
      <c r="AX314" s="11">
        <f>F314*AP314</f>
        <v>0</v>
      </c>
      <c r="AY314" s="14" t="s">
        <v>620</v>
      </c>
      <c r="AZ314" s="14" t="s">
        <v>628</v>
      </c>
      <c r="BA314" s="8" t="s">
        <v>629</v>
      </c>
      <c r="BC314" s="11">
        <f>AW314+AX314</f>
        <v>0</v>
      </c>
      <c r="BD314" s="11">
        <f>G314/(100-BE314)*100</f>
        <v>0</v>
      </c>
      <c r="BE314" s="11">
        <v>0</v>
      </c>
      <c r="BF314" s="11">
        <f>L314</f>
        <v>18.06966</v>
      </c>
      <c r="BH314" s="6">
        <f>F314*AO314</f>
        <v>0</v>
      </c>
      <c r="BI314" s="6">
        <f>F314*AP314</f>
        <v>0</v>
      </c>
      <c r="BJ314" s="6">
        <f>F314*G314</f>
        <v>0</v>
      </c>
      <c r="BK314" s="6" t="s">
        <v>634</v>
      </c>
      <c r="BL314" s="11">
        <v>96</v>
      </c>
    </row>
    <row r="315" spans="1:14" ht="12.75">
      <c r="A315" s="131"/>
      <c r="B315" s="132"/>
      <c r="C315" s="133" t="s">
        <v>515</v>
      </c>
      <c r="D315" s="134" t="s">
        <v>535</v>
      </c>
      <c r="E315" s="132"/>
      <c r="F315" s="135">
        <v>309.34</v>
      </c>
      <c r="G315" s="173"/>
      <c r="H315" s="132"/>
      <c r="I315" s="132"/>
      <c r="J315" s="132"/>
      <c r="K315" s="132"/>
      <c r="L315" s="132"/>
      <c r="M315" s="136"/>
      <c r="N315" s="1"/>
    </row>
    <row r="316" spans="1:14" ht="12.75">
      <c r="A316" s="131"/>
      <c r="B316" s="132"/>
      <c r="C316" s="133" t="s">
        <v>510</v>
      </c>
      <c r="D316" s="134" t="s">
        <v>541</v>
      </c>
      <c r="E316" s="132"/>
      <c r="F316" s="135">
        <v>1124.76</v>
      </c>
      <c r="G316" s="173"/>
      <c r="H316" s="132"/>
      <c r="I316" s="132"/>
      <c r="J316" s="132"/>
      <c r="K316" s="132"/>
      <c r="L316" s="132"/>
      <c r="M316" s="136"/>
      <c r="N316" s="1"/>
    </row>
    <row r="317" spans="1:64" ht="12.75">
      <c r="A317" s="126" t="s">
        <v>122</v>
      </c>
      <c r="B317" s="127" t="s">
        <v>258</v>
      </c>
      <c r="C317" s="242" t="s">
        <v>516</v>
      </c>
      <c r="D317" s="243"/>
      <c r="E317" s="127" t="s">
        <v>565</v>
      </c>
      <c r="F317" s="128">
        <v>865</v>
      </c>
      <c r="G317" s="174"/>
      <c r="H317" s="129">
        <f>F317*AO317</f>
        <v>0</v>
      </c>
      <c r="I317" s="129">
        <f>F317*AP317</f>
        <v>0</v>
      </c>
      <c r="J317" s="129">
        <f>F317*G317</f>
        <v>0</v>
      </c>
      <c r="K317" s="129">
        <v>0.059</v>
      </c>
      <c r="L317" s="129">
        <f>F317*K317</f>
        <v>51.035</v>
      </c>
      <c r="M317" s="130" t="s">
        <v>593</v>
      </c>
      <c r="N317" s="1"/>
      <c r="Z317" s="11">
        <f>IF(AQ317="5",BJ317,0)</f>
        <v>0</v>
      </c>
      <c r="AB317" s="11">
        <f>IF(AQ317="1",BH317,0)</f>
        <v>0</v>
      </c>
      <c r="AC317" s="11">
        <f>IF(AQ317="1",BI317,0)</f>
        <v>0</v>
      </c>
      <c r="AD317" s="11">
        <f>IF(AQ317="7",BH317,0)</f>
        <v>0</v>
      </c>
      <c r="AE317" s="11">
        <f>IF(AQ317="7",BI317,0)</f>
        <v>0</v>
      </c>
      <c r="AF317" s="11">
        <f>IF(AQ317="2",BH317,0)</f>
        <v>0</v>
      </c>
      <c r="AG317" s="11">
        <f>IF(AQ317="2",BI317,0)</f>
        <v>0</v>
      </c>
      <c r="AH317" s="11">
        <f>IF(AQ317="0",BJ317,0)</f>
        <v>0</v>
      </c>
      <c r="AI317" s="8"/>
      <c r="AJ317" s="6">
        <f>IF(AN317=0,J317,0)</f>
        <v>0</v>
      </c>
      <c r="AK317" s="6">
        <f>IF(AN317=15,J317,0)</f>
        <v>0</v>
      </c>
      <c r="AL317" s="6">
        <f>IF(AN317=21,J317,0)</f>
        <v>0</v>
      </c>
      <c r="AN317" s="11">
        <v>21</v>
      </c>
      <c r="AO317" s="11">
        <f>G317*0</f>
        <v>0</v>
      </c>
      <c r="AP317" s="11">
        <f>G317*(1-0)</f>
        <v>0</v>
      </c>
      <c r="AQ317" s="12" t="s">
        <v>7</v>
      </c>
      <c r="AV317" s="11">
        <f>AW317+AX317</f>
        <v>0</v>
      </c>
      <c r="AW317" s="11">
        <f>F317*AO317</f>
        <v>0</v>
      </c>
      <c r="AX317" s="11">
        <f>F317*AP317</f>
        <v>0</v>
      </c>
      <c r="AY317" s="14" t="s">
        <v>620</v>
      </c>
      <c r="AZ317" s="14" t="s">
        <v>628</v>
      </c>
      <c r="BA317" s="8" t="s">
        <v>629</v>
      </c>
      <c r="BC317" s="11">
        <f>AW317+AX317</f>
        <v>0</v>
      </c>
      <c r="BD317" s="11">
        <f>G317/(100-BE317)*100</f>
        <v>0</v>
      </c>
      <c r="BE317" s="11">
        <v>0</v>
      </c>
      <c r="BF317" s="11">
        <f>L317</f>
        <v>51.035</v>
      </c>
      <c r="BH317" s="6">
        <f>F317*AO317</f>
        <v>0</v>
      </c>
      <c r="BI317" s="6">
        <f>F317*AP317</f>
        <v>0</v>
      </c>
      <c r="BJ317" s="6">
        <f>F317*G317</f>
        <v>0</v>
      </c>
      <c r="BK317" s="6" t="s">
        <v>634</v>
      </c>
      <c r="BL317" s="11">
        <v>96</v>
      </c>
    </row>
    <row r="318" spans="1:14" ht="12.75">
      <c r="A318" s="131"/>
      <c r="B318" s="132"/>
      <c r="C318" s="133" t="s">
        <v>278</v>
      </c>
      <c r="D318" s="134"/>
      <c r="E318" s="132"/>
      <c r="F318" s="135">
        <v>865</v>
      </c>
      <c r="G318" s="173"/>
      <c r="H318" s="132"/>
      <c r="I318" s="132"/>
      <c r="J318" s="132"/>
      <c r="K318" s="132"/>
      <c r="L318" s="132"/>
      <c r="M318" s="136"/>
      <c r="N318" s="1"/>
    </row>
    <row r="319" spans="1:64" ht="12.75">
      <c r="A319" s="126" t="s">
        <v>123</v>
      </c>
      <c r="B319" s="127" t="s">
        <v>259</v>
      </c>
      <c r="C319" s="242" t="s">
        <v>517</v>
      </c>
      <c r="D319" s="243"/>
      <c r="E319" s="127" t="s">
        <v>567</v>
      </c>
      <c r="F319" s="128">
        <v>8.8</v>
      </c>
      <c r="G319" s="174"/>
      <c r="H319" s="129">
        <f>F319*AO319</f>
        <v>0</v>
      </c>
      <c r="I319" s="129">
        <f>F319*AP319</f>
        <v>0</v>
      </c>
      <c r="J319" s="129">
        <f>F319*G319</f>
        <v>0</v>
      </c>
      <c r="K319" s="129">
        <v>0.035</v>
      </c>
      <c r="L319" s="129">
        <f>F319*K319</f>
        <v>0.30800000000000005</v>
      </c>
      <c r="M319" s="130" t="s">
        <v>593</v>
      </c>
      <c r="N319" s="1"/>
      <c r="Z319" s="11">
        <f>IF(AQ319="5",BJ319,0)</f>
        <v>0</v>
      </c>
      <c r="AB319" s="11">
        <f>IF(AQ319="1",BH319,0)</f>
        <v>0</v>
      </c>
      <c r="AC319" s="11">
        <f>IF(AQ319="1",BI319,0)</f>
        <v>0</v>
      </c>
      <c r="AD319" s="11">
        <f>IF(AQ319="7",BH319,0)</f>
        <v>0</v>
      </c>
      <c r="AE319" s="11">
        <f>IF(AQ319="7",BI319,0)</f>
        <v>0</v>
      </c>
      <c r="AF319" s="11">
        <f>IF(AQ319="2",BH319,0)</f>
        <v>0</v>
      </c>
      <c r="AG319" s="11">
        <f>IF(AQ319="2",BI319,0)</f>
        <v>0</v>
      </c>
      <c r="AH319" s="11">
        <f>IF(AQ319="0",BJ319,0)</f>
        <v>0</v>
      </c>
      <c r="AI319" s="8"/>
      <c r="AJ319" s="6">
        <f>IF(AN319=0,J319,0)</f>
        <v>0</v>
      </c>
      <c r="AK319" s="6">
        <f>IF(AN319=15,J319,0)</f>
        <v>0</v>
      </c>
      <c r="AL319" s="6">
        <f>IF(AN319=21,J319,0)</f>
        <v>0</v>
      </c>
      <c r="AN319" s="11">
        <v>21</v>
      </c>
      <c r="AO319" s="11">
        <f>G319*0</f>
        <v>0</v>
      </c>
      <c r="AP319" s="11">
        <f>G319*(1-0)</f>
        <v>0</v>
      </c>
      <c r="AQ319" s="12" t="s">
        <v>7</v>
      </c>
      <c r="AV319" s="11">
        <f>AW319+AX319</f>
        <v>0</v>
      </c>
      <c r="AW319" s="11">
        <f>F319*AO319</f>
        <v>0</v>
      </c>
      <c r="AX319" s="11">
        <f>F319*AP319</f>
        <v>0</v>
      </c>
      <c r="AY319" s="14" t="s">
        <v>620</v>
      </c>
      <c r="AZ319" s="14" t="s">
        <v>628</v>
      </c>
      <c r="BA319" s="8" t="s">
        <v>629</v>
      </c>
      <c r="BC319" s="11">
        <f>AW319+AX319</f>
        <v>0</v>
      </c>
      <c r="BD319" s="11">
        <f>G319/(100-BE319)*100</f>
        <v>0</v>
      </c>
      <c r="BE319" s="11">
        <v>0</v>
      </c>
      <c r="BF319" s="11">
        <f>L319</f>
        <v>0.30800000000000005</v>
      </c>
      <c r="BH319" s="6">
        <f>F319*AO319</f>
        <v>0</v>
      </c>
      <c r="BI319" s="6">
        <f>F319*AP319</f>
        <v>0</v>
      </c>
      <c r="BJ319" s="6">
        <f>F319*G319</f>
        <v>0</v>
      </c>
      <c r="BK319" s="6" t="s">
        <v>634</v>
      </c>
      <c r="BL319" s="11">
        <v>96</v>
      </c>
    </row>
    <row r="320" spans="1:14" ht="12.75">
      <c r="A320" s="131"/>
      <c r="B320" s="132"/>
      <c r="C320" s="133" t="s">
        <v>417</v>
      </c>
      <c r="D320" s="134"/>
      <c r="E320" s="132"/>
      <c r="F320" s="135">
        <v>8.8</v>
      </c>
      <c r="G320" s="173"/>
      <c r="H320" s="132"/>
      <c r="I320" s="132"/>
      <c r="J320" s="132"/>
      <c r="K320" s="132"/>
      <c r="L320" s="132"/>
      <c r="M320" s="136"/>
      <c r="N320" s="1"/>
    </row>
    <row r="321" spans="1:64" ht="12.75">
      <c r="A321" s="126" t="s">
        <v>124</v>
      </c>
      <c r="B321" s="127" t="s">
        <v>260</v>
      </c>
      <c r="C321" s="242" t="s">
        <v>518</v>
      </c>
      <c r="D321" s="243"/>
      <c r="E321" s="127" t="s">
        <v>569</v>
      </c>
      <c r="F321" s="128">
        <v>33.45</v>
      </c>
      <c r="G321" s="174"/>
      <c r="H321" s="129">
        <f>F321*AO321</f>
        <v>0</v>
      </c>
      <c r="I321" s="129">
        <f>F321*AP321</f>
        <v>0</v>
      </c>
      <c r="J321" s="129">
        <f>F321*G321</f>
        <v>0</v>
      </c>
      <c r="K321" s="129">
        <v>0.00106</v>
      </c>
      <c r="L321" s="129">
        <f>F321*K321</f>
        <v>0.035457</v>
      </c>
      <c r="M321" s="130" t="s">
        <v>593</v>
      </c>
      <c r="N321" s="1"/>
      <c r="Z321" s="11">
        <f>IF(AQ321="5",BJ321,0)</f>
        <v>0</v>
      </c>
      <c r="AB321" s="11">
        <f>IF(AQ321="1",BH321,0)</f>
        <v>0</v>
      </c>
      <c r="AC321" s="11">
        <f>IF(AQ321="1",BI321,0)</f>
        <v>0</v>
      </c>
      <c r="AD321" s="11">
        <f>IF(AQ321="7",BH321,0)</f>
        <v>0</v>
      </c>
      <c r="AE321" s="11">
        <f>IF(AQ321="7",BI321,0)</f>
        <v>0</v>
      </c>
      <c r="AF321" s="11">
        <f>IF(AQ321="2",BH321,0)</f>
        <v>0</v>
      </c>
      <c r="AG321" s="11">
        <f>IF(AQ321="2",BI321,0)</f>
        <v>0</v>
      </c>
      <c r="AH321" s="11">
        <f>IF(AQ321="0",BJ321,0)</f>
        <v>0</v>
      </c>
      <c r="AI321" s="8"/>
      <c r="AJ321" s="6">
        <f>IF(AN321=0,J321,0)</f>
        <v>0</v>
      </c>
      <c r="AK321" s="6">
        <f>IF(AN321=15,J321,0)</f>
        <v>0</v>
      </c>
      <c r="AL321" s="6">
        <f>IF(AN321=21,J321,0)</f>
        <v>0</v>
      </c>
      <c r="AN321" s="11">
        <v>21</v>
      </c>
      <c r="AO321" s="11">
        <f>G321*0.179763459182593</f>
        <v>0</v>
      </c>
      <c r="AP321" s="11">
        <f>G321*(1-0.179763459182593)</f>
        <v>0</v>
      </c>
      <c r="AQ321" s="12" t="s">
        <v>7</v>
      </c>
      <c r="AV321" s="11">
        <f>AW321+AX321</f>
        <v>0</v>
      </c>
      <c r="AW321" s="11">
        <f>F321*AO321</f>
        <v>0</v>
      </c>
      <c r="AX321" s="11">
        <f>F321*AP321</f>
        <v>0</v>
      </c>
      <c r="AY321" s="14" t="s">
        <v>620</v>
      </c>
      <c r="AZ321" s="14" t="s">
        <v>628</v>
      </c>
      <c r="BA321" s="8" t="s">
        <v>629</v>
      </c>
      <c r="BC321" s="11">
        <f>AW321+AX321</f>
        <v>0</v>
      </c>
      <c r="BD321" s="11">
        <f>G321/(100-BE321)*100</f>
        <v>0</v>
      </c>
      <c r="BE321" s="11">
        <v>0</v>
      </c>
      <c r="BF321" s="11">
        <f>L321</f>
        <v>0.035457</v>
      </c>
      <c r="BH321" s="6">
        <f>F321*AO321</f>
        <v>0</v>
      </c>
      <c r="BI321" s="6">
        <f>F321*AP321</f>
        <v>0</v>
      </c>
      <c r="BJ321" s="6">
        <f>F321*G321</f>
        <v>0</v>
      </c>
      <c r="BK321" s="6" t="s">
        <v>634</v>
      </c>
      <c r="BL321" s="11">
        <v>96</v>
      </c>
    </row>
    <row r="322" spans="1:14" ht="12.75">
      <c r="A322" s="131"/>
      <c r="B322" s="143" t="s">
        <v>137</v>
      </c>
      <c r="C322" s="250" t="s">
        <v>519</v>
      </c>
      <c r="D322" s="251"/>
      <c r="E322" s="251"/>
      <c r="F322" s="251"/>
      <c r="G322" s="251"/>
      <c r="H322" s="251"/>
      <c r="I322" s="251"/>
      <c r="J322" s="251"/>
      <c r="K322" s="251"/>
      <c r="L322" s="251"/>
      <c r="M322" s="252"/>
      <c r="N322" s="1"/>
    </row>
    <row r="323" spans="1:14" ht="12.75">
      <c r="A323" s="131"/>
      <c r="B323" s="132"/>
      <c r="C323" s="133" t="s">
        <v>520</v>
      </c>
      <c r="D323" s="134" t="s">
        <v>561</v>
      </c>
      <c r="E323" s="132"/>
      <c r="F323" s="135">
        <v>33.45</v>
      </c>
      <c r="G323" s="173"/>
      <c r="H323" s="132"/>
      <c r="I323" s="132"/>
      <c r="J323" s="132"/>
      <c r="K323" s="132"/>
      <c r="L323" s="132"/>
      <c r="M323" s="136"/>
      <c r="N323" s="1"/>
    </row>
    <row r="324" spans="1:64" ht="12.75">
      <c r="A324" s="126" t="s">
        <v>125</v>
      </c>
      <c r="B324" s="127" t="s">
        <v>261</v>
      </c>
      <c r="C324" s="242" t="s">
        <v>521</v>
      </c>
      <c r="D324" s="243"/>
      <c r="E324" s="127" t="s">
        <v>568</v>
      </c>
      <c r="F324" s="128">
        <v>0.343</v>
      </c>
      <c r="G324" s="174"/>
      <c r="H324" s="129">
        <f>F324*AO324</f>
        <v>0</v>
      </c>
      <c r="I324" s="129">
        <f>F324*AP324</f>
        <v>0</v>
      </c>
      <c r="J324" s="129">
        <f>F324*G324</f>
        <v>0</v>
      </c>
      <c r="K324" s="129">
        <v>0</v>
      </c>
      <c r="L324" s="129">
        <f>F324*K324</f>
        <v>0</v>
      </c>
      <c r="M324" s="130" t="s">
        <v>593</v>
      </c>
      <c r="N324" s="1"/>
      <c r="Z324" s="11">
        <f>IF(AQ324="5",BJ324,0)</f>
        <v>0</v>
      </c>
      <c r="AB324" s="11">
        <f>IF(AQ324="1",BH324,0)</f>
        <v>0</v>
      </c>
      <c r="AC324" s="11">
        <f>IF(AQ324="1",BI324,0)</f>
        <v>0</v>
      </c>
      <c r="AD324" s="11">
        <f>IF(AQ324="7",BH324,0)</f>
        <v>0</v>
      </c>
      <c r="AE324" s="11">
        <f>IF(AQ324="7",BI324,0)</f>
        <v>0</v>
      </c>
      <c r="AF324" s="11">
        <f>IF(AQ324="2",BH324,0)</f>
        <v>0</v>
      </c>
      <c r="AG324" s="11">
        <f>IF(AQ324="2",BI324,0)</f>
        <v>0</v>
      </c>
      <c r="AH324" s="11">
        <f>IF(AQ324="0",BJ324,0)</f>
        <v>0</v>
      </c>
      <c r="AI324" s="8"/>
      <c r="AJ324" s="6">
        <f>IF(AN324=0,J324,0)</f>
        <v>0</v>
      </c>
      <c r="AK324" s="6">
        <f>IF(AN324=15,J324,0)</f>
        <v>0</v>
      </c>
      <c r="AL324" s="6">
        <f>IF(AN324=21,J324,0)</f>
        <v>0</v>
      </c>
      <c r="AN324" s="11">
        <v>21</v>
      </c>
      <c r="AO324" s="11">
        <f>G324*0</f>
        <v>0</v>
      </c>
      <c r="AP324" s="11">
        <f>G324*(1-0)</f>
        <v>0</v>
      </c>
      <c r="AQ324" s="12" t="s">
        <v>11</v>
      </c>
      <c r="AV324" s="11">
        <f>AW324+AX324</f>
        <v>0</v>
      </c>
      <c r="AW324" s="11">
        <f>F324*AO324</f>
        <v>0</v>
      </c>
      <c r="AX324" s="11">
        <f>F324*AP324</f>
        <v>0</v>
      </c>
      <c r="AY324" s="14" t="s">
        <v>620</v>
      </c>
      <c r="AZ324" s="14" t="s">
        <v>628</v>
      </c>
      <c r="BA324" s="8" t="s">
        <v>629</v>
      </c>
      <c r="BC324" s="11">
        <f>AW324+AX324</f>
        <v>0</v>
      </c>
      <c r="BD324" s="11">
        <f>G324/(100-BE324)*100</f>
        <v>0</v>
      </c>
      <c r="BE324" s="11">
        <v>0</v>
      </c>
      <c r="BF324" s="11">
        <f>L324</f>
        <v>0</v>
      </c>
      <c r="BH324" s="6">
        <f>F324*AO324</f>
        <v>0</v>
      </c>
      <c r="BI324" s="6">
        <f>F324*AP324</f>
        <v>0</v>
      </c>
      <c r="BJ324" s="6">
        <f>F324*G324</f>
        <v>0</v>
      </c>
      <c r="BK324" s="6" t="s">
        <v>634</v>
      </c>
      <c r="BL324" s="11">
        <v>96</v>
      </c>
    </row>
    <row r="325" spans="1:64" ht="12.75">
      <c r="A325" s="126" t="s">
        <v>126</v>
      </c>
      <c r="B325" s="127" t="s">
        <v>262</v>
      </c>
      <c r="C325" s="242" t="s">
        <v>522</v>
      </c>
      <c r="D325" s="243"/>
      <c r="E325" s="127" t="s">
        <v>568</v>
      </c>
      <c r="F325" s="128">
        <v>607.264</v>
      </c>
      <c r="G325" s="174"/>
      <c r="H325" s="129">
        <f>F325*AO325</f>
        <v>0</v>
      </c>
      <c r="I325" s="129">
        <f>F325*AP325</f>
        <v>0</v>
      </c>
      <c r="J325" s="129">
        <f>F325*G325</f>
        <v>0</v>
      </c>
      <c r="K325" s="129">
        <v>0</v>
      </c>
      <c r="L325" s="129">
        <f>F325*K325</f>
        <v>0</v>
      </c>
      <c r="M325" s="130" t="s">
        <v>593</v>
      </c>
      <c r="N325" s="1"/>
      <c r="Z325" s="11">
        <f>IF(AQ325="5",BJ325,0)</f>
        <v>0</v>
      </c>
      <c r="AB325" s="11">
        <f>IF(AQ325="1",BH325,0)</f>
        <v>0</v>
      </c>
      <c r="AC325" s="11">
        <f>IF(AQ325="1",BI325,0)</f>
        <v>0</v>
      </c>
      <c r="AD325" s="11">
        <f>IF(AQ325="7",BH325,0)</f>
        <v>0</v>
      </c>
      <c r="AE325" s="11">
        <f>IF(AQ325="7",BI325,0)</f>
        <v>0</v>
      </c>
      <c r="AF325" s="11">
        <f>IF(AQ325="2",BH325,0)</f>
        <v>0</v>
      </c>
      <c r="AG325" s="11">
        <f>IF(AQ325="2",BI325,0)</f>
        <v>0</v>
      </c>
      <c r="AH325" s="11">
        <f>IF(AQ325="0",BJ325,0)</f>
        <v>0</v>
      </c>
      <c r="AI325" s="8"/>
      <c r="AJ325" s="6">
        <f>IF(AN325=0,J325,0)</f>
        <v>0</v>
      </c>
      <c r="AK325" s="6">
        <f>IF(AN325=15,J325,0)</f>
        <v>0</v>
      </c>
      <c r="AL325" s="6">
        <f>IF(AN325=21,J325,0)</f>
        <v>0</v>
      </c>
      <c r="AN325" s="11">
        <v>21</v>
      </c>
      <c r="AO325" s="11">
        <f>G325*0</f>
        <v>0</v>
      </c>
      <c r="AP325" s="11">
        <f>G325*(1-0)</f>
        <v>0</v>
      </c>
      <c r="AQ325" s="12" t="s">
        <v>11</v>
      </c>
      <c r="AV325" s="11">
        <f>AW325+AX325</f>
        <v>0</v>
      </c>
      <c r="AW325" s="11">
        <f>F325*AO325</f>
        <v>0</v>
      </c>
      <c r="AX325" s="11">
        <f>F325*AP325</f>
        <v>0</v>
      </c>
      <c r="AY325" s="14" t="s">
        <v>620</v>
      </c>
      <c r="AZ325" s="14" t="s">
        <v>628</v>
      </c>
      <c r="BA325" s="8" t="s">
        <v>629</v>
      </c>
      <c r="BC325" s="11">
        <f>AW325+AX325</f>
        <v>0</v>
      </c>
      <c r="BD325" s="11">
        <f>G325/(100-BE325)*100</f>
        <v>0</v>
      </c>
      <c r="BE325" s="11">
        <v>0</v>
      </c>
      <c r="BF325" s="11">
        <f>L325</f>
        <v>0</v>
      </c>
      <c r="BH325" s="6">
        <f>F325*AO325</f>
        <v>0</v>
      </c>
      <c r="BI325" s="6">
        <f>F325*AP325</f>
        <v>0</v>
      </c>
      <c r="BJ325" s="6">
        <f>F325*G325</f>
        <v>0</v>
      </c>
      <c r="BK325" s="6" t="s">
        <v>634</v>
      </c>
      <c r="BL325" s="11">
        <v>96</v>
      </c>
    </row>
    <row r="326" spans="1:64" ht="12.75">
      <c r="A326" s="126" t="s">
        <v>127</v>
      </c>
      <c r="B326" s="127" t="s">
        <v>263</v>
      </c>
      <c r="C326" s="242" t="s">
        <v>523</v>
      </c>
      <c r="D326" s="243"/>
      <c r="E326" s="127" t="s">
        <v>568</v>
      </c>
      <c r="F326" s="128">
        <v>3036.322</v>
      </c>
      <c r="G326" s="174"/>
      <c r="H326" s="129">
        <f>F326*AO326</f>
        <v>0</v>
      </c>
      <c r="I326" s="129">
        <f>F326*AP326</f>
        <v>0</v>
      </c>
      <c r="J326" s="129">
        <f>F326*G326</f>
        <v>0</v>
      </c>
      <c r="K326" s="129">
        <v>0</v>
      </c>
      <c r="L326" s="129">
        <f>F326*K326</f>
        <v>0</v>
      </c>
      <c r="M326" s="130" t="s">
        <v>593</v>
      </c>
      <c r="N326" s="1"/>
      <c r="Z326" s="11">
        <f>IF(AQ326="5",BJ326,0)</f>
        <v>0</v>
      </c>
      <c r="AB326" s="11">
        <f>IF(AQ326="1",BH326,0)</f>
        <v>0</v>
      </c>
      <c r="AC326" s="11">
        <f>IF(AQ326="1",BI326,0)</f>
        <v>0</v>
      </c>
      <c r="AD326" s="11">
        <f>IF(AQ326="7",BH326,0)</f>
        <v>0</v>
      </c>
      <c r="AE326" s="11">
        <f>IF(AQ326="7",BI326,0)</f>
        <v>0</v>
      </c>
      <c r="AF326" s="11">
        <f>IF(AQ326="2",BH326,0)</f>
        <v>0</v>
      </c>
      <c r="AG326" s="11">
        <f>IF(AQ326="2",BI326,0)</f>
        <v>0</v>
      </c>
      <c r="AH326" s="11">
        <f>IF(AQ326="0",BJ326,0)</f>
        <v>0</v>
      </c>
      <c r="AI326" s="8"/>
      <c r="AJ326" s="6">
        <f>IF(AN326=0,J326,0)</f>
        <v>0</v>
      </c>
      <c r="AK326" s="6">
        <f>IF(AN326=15,J326,0)</f>
        <v>0</v>
      </c>
      <c r="AL326" s="6">
        <f>IF(AN326=21,J326,0)</f>
        <v>0</v>
      </c>
      <c r="AN326" s="11">
        <v>21</v>
      </c>
      <c r="AO326" s="11">
        <f>G326*0</f>
        <v>0</v>
      </c>
      <c r="AP326" s="11">
        <f>G326*(1-0)</f>
        <v>0</v>
      </c>
      <c r="AQ326" s="12" t="s">
        <v>11</v>
      </c>
      <c r="AV326" s="11">
        <f>AW326+AX326</f>
        <v>0</v>
      </c>
      <c r="AW326" s="11">
        <f>F326*AO326</f>
        <v>0</v>
      </c>
      <c r="AX326" s="11">
        <f>F326*AP326</f>
        <v>0</v>
      </c>
      <c r="AY326" s="14" t="s">
        <v>620</v>
      </c>
      <c r="AZ326" s="14" t="s">
        <v>628</v>
      </c>
      <c r="BA326" s="8" t="s">
        <v>629</v>
      </c>
      <c r="BC326" s="11">
        <f>AW326+AX326</f>
        <v>0</v>
      </c>
      <c r="BD326" s="11">
        <f>G326/(100-BE326)*100</f>
        <v>0</v>
      </c>
      <c r="BE326" s="11">
        <v>0</v>
      </c>
      <c r="BF326" s="11">
        <f>L326</f>
        <v>0</v>
      </c>
      <c r="BH326" s="6">
        <f>F326*AO326</f>
        <v>0</v>
      </c>
      <c r="BI326" s="6">
        <f>F326*AP326</f>
        <v>0</v>
      </c>
      <c r="BJ326" s="6">
        <f>F326*G326</f>
        <v>0</v>
      </c>
      <c r="BK326" s="6" t="s">
        <v>634</v>
      </c>
      <c r="BL326" s="11">
        <v>96</v>
      </c>
    </row>
    <row r="327" spans="1:14" ht="12.75">
      <c r="A327" s="131"/>
      <c r="B327" s="132"/>
      <c r="C327" s="133" t="s">
        <v>524</v>
      </c>
      <c r="D327" s="134"/>
      <c r="E327" s="132"/>
      <c r="F327" s="135">
        <v>3036.322</v>
      </c>
      <c r="G327" s="173"/>
      <c r="H327" s="132"/>
      <c r="I327" s="132"/>
      <c r="J327" s="132"/>
      <c r="K327" s="132"/>
      <c r="L327" s="132"/>
      <c r="M327" s="136"/>
      <c r="N327" s="1"/>
    </row>
    <row r="328" spans="1:64" ht="12.75">
      <c r="A328" s="126" t="s">
        <v>128</v>
      </c>
      <c r="B328" s="127" t="s">
        <v>264</v>
      </c>
      <c r="C328" s="242" t="s">
        <v>525</v>
      </c>
      <c r="D328" s="243"/>
      <c r="E328" s="127" t="s">
        <v>568</v>
      </c>
      <c r="F328" s="128">
        <v>607.264</v>
      </c>
      <c r="G328" s="174"/>
      <c r="H328" s="129">
        <f>F328*AO328</f>
        <v>0</v>
      </c>
      <c r="I328" s="129">
        <f>F328*AP328</f>
        <v>0</v>
      </c>
      <c r="J328" s="129">
        <f>F328*G328</f>
        <v>0</v>
      </c>
      <c r="K328" s="129">
        <v>0</v>
      </c>
      <c r="L328" s="129">
        <f>F328*K328</f>
        <v>0</v>
      </c>
      <c r="M328" s="130" t="s">
        <v>593</v>
      </c>
      <c r="N328" s="1"/>
      <c r="Z328" s="11">
        <f>IF(AQ328="5",BJ328,0)</f>
        <v>0</v>
      </c>
      <c r="AB328" s="11">
        <f>IF(AQ328="1",BH328,0)</f>
        <v>0</v>
      </c>
      <c r="AC328" s="11">
        <f>IF(AQ328="1",BI328,0)</f>
        <v>0</v>
      </c>
      <c r="AD328" s="11">
        <f>IF(AQ328="7",BH328,0)</f>
        <v>0</v>
      </c>
      <c r="AE328" s="11">
        <f>IF(AQ328="7",BI328,0)</f>
        <v>0</v>
      </c>
      <c r="AF328" s="11">
        <f>IF(AQ328="2",BH328,0)</f>
        <v>0</v>
      </c>
      <c r="AG328" s="11">
        <f>IF(AQ328="2",BI328,0)</f>
        <v>0</v>
      </c>
      <c r="AH328" s="11">
        <f>IF(AQ328="0",BJ328,0)</f>
        <v>0</v>
      </c>
      <c r="AI328" s="8"/>
      <c r="AJ328" s="6">
        <f>IF(AN328=0,J328,0)</f>
        <v>0</v>
      </c>
      <c r="AK328" s="6">
        <f>IF(AN328=15,J328,0)</f>
        <v>0</v>
      </c>
      <c r="AL328" s="6">
        <f>IF(AN328=21,J328,0)</f>
        <v>0</v>
      </c>
      <c r="AN328" s="11">
        <v>21</v>
      </c>
      <c r="AO328" s="11">
        <f>G328*0</f>
        <v>0</v>
      </c>
      <c r="AP328" s="11">
        <f>G328*(1-0)</f>
        <v>0</v>
      </c>
      <c r="AQ328" s="12" t="s">
        <v>11</v>
      </c>
      <c r="AV328" s="11">
        <f>AW328+AX328</f>
        <v>0</v>
      </c>
      <c r="AW328" s="11">
        <f>F328*AO328</f>
        <v>0</v>
      </c>
      <c r="AX328" s="11">
        <f>F328*AP328</f>
        <v>0</v>
      </c>
      <c r="AY328" s="14" t="s">
        <v>620</v>
      </c>
      <c r="AZ328" s="14" t="s">
        <v>628</v>
      </c>
      <c r="BA328" s="8" t="s">
        <v>629</v>
      </c>
      <c r="BC328" s="11">
        <f>AW328+AX328</f>
        <v>0</v>
      </c>
      <c r="BD328" s="11">
        <f>G328/(100-BE328)*100</f>
        <v>0</v>
      </c>
      <c r="BE328" s="11">
        <v>0</v>
      </c>
      <c r="BF328" s="11">
        <f>L328</f>
        <v>0</v>
      </c>
      <c r="BH328" s="6">
        <f>F328*AO328</f>
        <v>0</v>
      </c>
      <c r="BI328" s="6">
        <f>F328*AP328</f>
        <v>0</v>
      </c>
      <c r="BJ328" s="6">
        <f>F328*G328</f>
        <v>0</v>
      </c>
      <c r="BK328" s="6" t="s">
        <v>634</v>
      </c>
      <c r="BL328" s="11">
        <v>96</v>
      </c>
    </row>
    <row r="329" spans="1:64" ht="12.75">
      <c r="A329" s="126" t="s">
        <v>129</v>
      </c>
      <c r="B329" s="127" t="s">
        <v>265</v>
      </c>
      <c r="C329" s="242" t="s">
        <v>526</v>
      </c>
      <c r="D329" s="243"/>
      <c r="E329" s="127" t="s">
        <v>568</v>
      </c>
      <c r="F329" s="128">
        <v>3036.322</v>
      </c>
      <c r="G329" s="174"/>
      <c r="H329" s="129">
        <f>F329*AO329</f>
        <v>0</v>
      </c>
      <c r="I329" s="129">
        <f>F329*AP329</f>
        <v>0</v>
      </c>
      <c r="J329" s="129">
        <f>F329*G329</f>
        <v>0</v>
      </c>
      <c r="K329" s="129">
        <v>0</v>
      </c>
      <c r="L329" s="129">
        <f>F329*K329</f>
        <v>0</v>
      </c>
      <c r="M329" s="130" t="s">
        <v>593</v>
      </c>
      <c r="N329" s="1"/>
      <c r="Z329" s="11">
        <f>IF(AQ329="5",BJ329,0)</f>
        <v>0</v>
      </c>
      <c r="AB329" s="11">
        <f>IF(AQ329="1",BH329,0)</f>
        <v>0</v>
      </c>
      <c r="AC329" s="11">
        <f>IF(AQ329="1",BI329,0)</f>
        <v>0</v>
      </c>
      <c r="AD329" s="11">
        <f>IF(AQ329="7",BH329,0)</f>
        <v>0</v>
      </c>
      <c r="AE329" s="11">
        <f>IF(AQ329="7",BI329,0)</f>
        <v>0</v>
      </c>
      <c r="AF329" s="11">
        <f>IF(AQ329="2",BH329,0)</f>
        <v>0</v>
      </c>
      <c r="AG329" s="11">
        <f>IF(AQ329="2",BI329,0)</f>
        <v>0</v>
      </c>
      <c r="AH329" s="11">
        <f>IF(AQ329="0",BJ329,0)</f>
        <v>0</v>
      </c>
      <c r="AI329" s="8"/>
      <c r="AJ329" s="6">
        <f>IF(AN329=0,J329,0)</f>
        <v>0</v>
      </c>
      <c r="AK329" s="6">
        <f>IF(AN329=15,J329,0)</f>
        <v>0</v>
      </c>
      <c r="AL329" s="6">
        <f>IF(AN329=21,J329,0)</f>
        <v>0</v>
      </c>
      <c r="AN329" s="11">
        <v>21</v>
      </c>
      <c r="AO329" s="11">
        <f>G329*0</f>
        <v>0</v>
      </c>
      <c r="AP329" s="11">
        <f>G329*(1-0)</f>
        <v>0</v>
      </c>
      <c r="AQ329" s="12" t="s">
        <v>11</v>
      </c>
      <c r="AV329" s="11">
        <f>AW329+AX329</f>
        <v>0</v>
      </c>
      <c r="AW329" s="11">
        <f>F329*AO329</f>
        <v>0</v>
      </c>
      <c r="AX329" s="11">
        <f>F329*AP329</f>
        <v>0</v>
      </c>
      <c r="AY329" s="14" t="s">
        <v>620</v>
      </c>
      <c r="AZ329" s="14" t="s">
        <v>628</v>
      </c>
      <c r="BA329" s="8" t="s">
        <v>629</v>
      </c>
      <c r="BC329" s="11">
        <f>AW329+AX329</f>
        <v>0</v>
      </c>
      <c r="BD329" s="11">
        <f>G329/(100-BE329)*100</f>
        <v>0</v>
      </c>
      <c r="BE329" s="11">
        <v>0</v>
      </c>
      <c r="BF329" s="11">
        <f>L329</f>
        <v>0</v>
      </c>
      <c r="BH329" s="6">
        <f>F329*AO329</f>
        <v>0</v>
      </c>
      <c r="BI329" s="6">
        <f>F329*AP329</f>
        <v>0</v>
      </c>
      <c r="BJ329" s="6">
        <f>F329*G329</f>
        <v>0</v>
      </c>
      <c r="BK329" s="6" t="s">
        <v>634</v>
      </c>
      <c r="BL329" s="11">
        <v>96</v>
      </c>
    </row>
    <row r="330" spans="1:14" ht="12.75">
      <c r="A330" s="131"/>
      <c r="B330" s="132"/>
      <c r="C330" s="133" t="s">
        <v>524</v>
      </c>
      <c r="D330" s="134"/>
      <c r="E330" s="132"/>
      <c r="F330" s="135">
        <v>3036.322</v>
      </c>
      <c r="G330" s="173"/>
      <c r="H330" s="132"/>
      <c r="I330" s="132"/>
      <c r="J330" s="132"/>
      <c r="K330" s="132"/>
      <c r="L330" s="132"/>
      <c r="M330" s="136"/>
      <c r="N330" s="1"/>
    </row>
    <row r="331" spans="1:64" ht="12.75">
      <c r="A331" s="126" t="s">
        <v>130</v>
      </c>
      <c r="B331" s="127" t="s">
        <v>266</v>
      </c>
      <c r="C331" s="242" t="s">
        <v>527</v>
      </c>
      <c r="D331" s="243"/>
      <c r="E331" s="127" t="s">
        <v>568</v>
      </c>
      <c r="F331" s="128">
        <v>607.264</v>
      </c>
      <c r="G331" s="174"/>
      <c r="H331" s="129">
        <f>F331*AO331</f>
        <v>0</v>
      </c>
      <c r="I331" s="129">
        <f>F331*AP331</f>
        <v>0</v>
      </c>
      <c r="J331" s="129">
        <f>F331*G331</f>
        <v>0</v>
      </c>
      <c r="K331" s="129">
        <v>0</v>
      </c>
      <c r="L331" s="129">
        <f>F331*K331</f>
        <v>0</v>
      </c>
      <c r="M331" s="130" t="s">
        <v>593</v>
      </c>
      <c r="N331" s="1"/>
      <c r="Z331" s="11">
        <f>IF(AQ331="5",BJ331,0)</f>
        <v>0</v>
      </c>
      <c r="AB331" s="11">
        <f>IF(AQ331="1",BH331,0)</f>
        <v>0</v>
      </c>
      <c r="AC331" s="11">
        <f>IF(AQ331="1",BI331,0)</f>
        <v>0</v>
      </c>
      <c r="AD331" s="11">
        <f>IF(AQ331="7",BH331,0)</f>
        <v>0</v>
      </c>
      <c r="AE331" s="11">
        <f>IF(AQ331="7",BI331,0)</f>
        <v>0</v>
      </c>
      <c r="AF331" s="11">
        <f>IF(AQ331="2",BH331,0)</f>
        <v>0</v>
      </c>
      <c r="AG331" s="11">
        <f>IF(AQ331="2",BI331,0)</f>
        <v>0</v>
      </c>
      <c r="AH331" s="11">
        <f>IF(AQ331="0",BJ331,0)</f>
        <v>0</v>
      </c>
      <c r="AI331" s="8"/>
      <c r="AJ331" s="6">
        <f>IF(AN331=0,J331,0)</f>
        <v>0</v>
      </c>
      <c r="AK331" s="6">
        <f>IF(AN331=15,J331,0)</f>
        <v>0</v>
      </c>
      <c r="AL331" s="6">
        <f>IF(AN331=21,J331,0)</f>
        <v>0</v>
      </c>
      <c r="AN331" s="11">
        <v>21</v>
      </c>
      <c r="AO331" s="11">
        <f>G331*0</f>
        <v>0</v>
      </c>
      <c r="AP331" s="11">
        <f>G331*(1-0)</f>
        <v>0</v>
      </c>
      <c r="AQ331" s="12" t="s">
        <v>11</v>
      </c>
      <c r="AV331" s="11">
        <f>AW331+AX331</f>
        <v>0</v>
      </c>
      <c r="AW331" s="11">
        <f>F331*AO331</f>
        <v>0</v>
      </c>
      <c r="AX331" s="11">
        <f>F331*AP331</f>
        <v>0</v>
      </c>
      <c r="AY331" s="14" t="s">
        <v>620</v>
      </c>
      <c r="AZ331" s="14" t="s">
        <v>628</v>
      </c>
      <c r="BA331" s="8" t="s">
        <v>629</v>
      </c>
      <c r="BC331" s="11">
        <f>AW331+AX331</f>
        <v>0</v>
      </c>
      <c r="BD331" s="11">
        <f>G331/(100-BE331)*100</f>
        <v>0</v>
      </c>
      <c r="BE331" s="11">
        <v>0</v>
      </c>
      <c r="BF331" s="11">
        <f>L331</f>
        <v>0</v>
      </c>
      <c r="BH331" s="6">
        <f>F331*AO331</f>
        <v>0</v>
      </c>
      <c r="BI331" s="6">
        <f>F331*AP331</f>
        <v>0</v>
      </c>
      <c r="BJ331" s="6">
        <f>F331*G331</f>
        <v>0</v>
      </c>
      <c r="BK331" s="6" t="s">
        <v>634</v>
      </c>
      <c r="BL331" s="11">
        <v>96</v>
      </c>
    </row>
    <row r="332" spans="1:47" ht="12.75">
      <c r="A332" s="137"/>
      <c r="B332" s="138" t="s">
        <v>267</v>
      </c>
      <c r="C332" s="244" t="s">
        <v>528</v>
      </c>
      <c r="D332" s="245"/>
      <c r="E332" s="139" t="s">
        <v>6</v>
      </c>
      <c r="F332" s="139" t="s">
        <v>6</v>
      </c>
      <c r="G332" s="139" t="s">
        <v>6</v>
      </c>
      <c r="H332" s="140">
        <f>SUM(H333:H333)</f>
        <v>0</v>
      </c>
      <c r="I332" s="140">
        <f>SUM(I333:I333)</f>
        <v>0</v>
      </c>
      <c r="J332" s="140">
        <f>SUM(J333:J333)</f>
        <v>0</v>
      </c>
      <c r="K332" s="141"/>
      <c r="L332" s="140">
        <f>SUM(L333:L333)</f>
        <v>0</v>
      </c>
      <c r="M332" s="142"/>
      <c r="N332" s="1"/>
      <c r="AI332" s="8"/>
      <c r="AS332" s="16">
        <f>SUM(AJ333:AJ333)</f>
        <v>0</v>
      </c>
      <c r="AT332" s="16">
        <f>SUM(AK333:AK333)</f>
        <v>0</v>
      </c>
      <c r="AU332" s="16">
        <f>SUM(AL333:AL333)</f>
        <v>0</v>
      </c>
    </row>
    <row r="333" spans="1:64" ht="12.75">
      <c r="A333" s="126" t="s">
        <v>131</v>
      </c>
      <c r="B333" s="127" t="s">
        <v>268</v>
      </c>
      <c r="C333" s="242" t="s">
        <v>529</v>
      </c>
      <c r="D333" s="243"/>
      <c r="E333" s="127" t="s">
        <v>570</v>
      </c>
      <c r="F333" s="128">
        <v>1</v>
      </c>
      <c r="G333" s="174">
        <f>Silnoproud!I13</f>
        <v>0</v>
      </c>
      <c r="H333" s="129">
        <f>F333*AO333</f>
        <v>0</v>
      </c>
      <c r="I333" s="129">
        <f>F333*AP333</f>
        <v>0</v>
      </c>
      <c r="J333" s="129">
        <f>F333*G333</f>
        <v>0</v>
      </c>
      <c r="K333" s="129">
        <v>0</v>
      </c>
      <c r="L333" s="129">
        <f>F333*K333</f>
        <v>0</v>
      </c>
      <c r="M333" s="130" t="s">
        <v>593</v>
      </c>
      <c r="N333" s="1"/>
      <c r="Z333" s="11">
        <f>IF(AQ333="5",BJ333,0)</f>
        <v>0</v>
      </c>
      <c r="AB333" s="11">
        <f>IF(AQ333="1",BH333,0)</f>
        <v>0</v>
      </c>
      <c r="AC333" s="11">
        <f>IF(AQ333="1",BI333,0)</f>
        <v>0</v>
      </c>
      <c r="AD333" s="11">
        <f>IF(AQ333="7",BH333,0)</f>
        <v>0</v>
      </c>
      <c r="AE333" s="11">
        <f>IF(AQ333="7",BI333,0)</f>
        <v>0</v>
      </c>
      <c r="AF333" s="11">
        <f>IF(AQ333="2",BH333,0)</f>
        <v>0</v>
      </c>
      <c r="AG333" s="11">
        <f>IF(AQ333="2",BI333,0)</f>
        <v>0</v>
      </c>
      <c r="AH333" s="11">
        <f>IF(AQ333="0",BJ333,0)</f>
        <v>0</v>
      </c>
      <c r="AI333" s="8"/>
      <c r="AJ333" s="6">
        <f>IF(AN333=0,J333,0)</f>
        <v>0</v>
      </c>
      <c r="AK333" s="6">
        <f>IF(AN333=15,J333,0)</f>
        <v>0</v>
      </c>
      <c r="AL333" s="6">
        <f>IF(AN333=21,J333,0)</f>
        <v>0</v>
      </c>
      <c r="AN333" s="11">
        <v>21</v>
      </c>
      <c r="AO333" s="11">
        <f>G333*0.52</f>
        <v>0</v>
      </c>
      <c r="AP333" s="11">
        <f>G333*(1-0.52)</f>
        <v>0</v>
      </c>
      <c r="AQ333" s="12" t="s">
        <v>8</v>
      </c>
      <c r="AV333" s="11">
        <f>AW333+AX333</f>
        <v>0</v>
      </c>
      <c r="AW333" s="11">
        <f>F333*AO333</f>
        <v>0</v>
      </c>
      <c r="AX333" s="11">
        <f>F333*AP333</f>
        <v>0</v>
      </c>
      <c r="AY333" s="14" t="s">
        <v>621</v>
      </c>
      <c r="AZ333" s="14" t="s">
        <v>628</v>
      </c>
      <c r="BA333" s="8" t="s">
        <v>629</v>
      </c>
      <c r="BC333" s="11">
        <f>AW333+AX333</f>
        <v>0</v>
      </c>
      <c r="BD333" s="11">
        <f>G333/(100-BE333)*100</f>
        <v>0</v>
      </c>
      <c r="BE333" s="11">
        <v>0</v>
      </c>
      <c r="BF333" s="11">
        <f>L333</f>
        <v>0</v>
      </c>
      <c r="BH333" s="6">
        <f>F333*AO333</f>
        <v>0</v>
      </c>
      <c r="BI333" s="6">
        <f>F333*AP333</f>
        <v>0</v>
      </c>
      <c r="BJ333" s="6">
        <f>F333*G333</f>
        <v>0</v>
      </c>
      <c r="BK333" s="6" t="s">
        <v>634</v>
      </c>
      <c r="BL333" s="11" t="s">
        <v>267</v>
      </c>
    </row>
    <row r="334" spans="1:14" ht="12.75">
      <c r="A334" s="151"/>
      <c r="B334" s="152"/>
      <c r="C334" s="153" t="s">
        <v>7</v>
      </c>
      <c r="D334" s="154"/>
      <c r="E334" s="152"/>
      <c r="F334" s="155">
        <v>1</v>
      </c>
      <c r="G334" s="175"/>
      <c r="H334" s="152"/>
      <c r="I334" s="152"/>
      <c r="J334" s="152"/>
      <c r="K334" s="152"/>
      <c r="L334" s="152"/>
      <c r="M334" s="156"/>
      <c r="N334" s="1"/>
    </row>
    <row r="335" spans="1:13" ht="12.75">
      <c r="A335" s="157"/>
      <c r="B335" s="157"/>
      <c r="C335" s="157"/>
      <c r="D335" s="157"/>
      <c r="E335" s="157"/>
      <c r="F335" s="157"/>
      <c r="G335" s="157"/>
      <c r="H335" s="246" t="s">
        <v>586</v>
      </c>
      <c r="I335" s="247"/>
      <c r="J335" s="158">
        <f>J12+J15+J23+J39+J67+J79+J91+J99+J109+J176+J216+J227+J237+J243+J263+J281+J304+J332</f>
        <v>0</v>
      </c>
      <c r="K335" s="157"/>
      <c r="L335" s="157"/>
      <c r="M335" s="157"/>
    </row>
    <row r="336" spans="1:13" ht="11.25" customHeight="1">
      <c r="A336" s="4" t="s">
        <v>132</v>
      </c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</row>
    <row r="337" spans="1:13" ht="76.5" customHeight="1">
      <c r="A337" s="248" t="s">
        <v>133</v>
      </c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</row>
    <row r="338" spans="1:13" ht="12.75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</row>
    <row r="339" spans="1:13" ht="12.75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</row>
    <row r="340" spans="1:13" ht="12.75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</row>
    <row r="341" spans="1:13" ht="12.75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</row>
    <row r="342" spans="1:13" ht="12.75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</row>
    <row r="343" spans="1:13" ht="12.75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</row>
    <row r="344" spans="1:13" ht="12.75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</row>
    <row r="345" spans="1:13" ht="12.75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</row>
    <row r="346" spans="1:13" ht="12.75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</row>
    <row r="347" spans="1:13" ht="12.75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</row>
    <row r="348" spans="1:13" ht="12.75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</row>
    <row r="349" spans="1:13" ht="12.75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</row>
    <row r="350" spans="1:13" ht="12.75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</row>
    <row r="351" spans="1:13" ht="12.75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</row>
    <row r="352" spans="1:13" ht="12.75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</row>
    <row r="353" spans="1:13" ht="12.75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</row>
    <row r="354" spans="1:13" ht="12.75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</row>
    <row r="355" spans="1:13" ht="12.75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</row>
  </sheetData>
  <sheetProtection password="C4E8" sheet="1" objects="1" scenarios="1"/>
  <protectedRanges>
    <protectedRange sqref="G13:G14 G16 G18:G22 G24:G29 G31 G33:G38 G40:G52 G54:G59 G61:G66 G68:G71" name="Oblast60"/>
    <protectedRange sqref="G73:G78" name="Range1"/>
    <protectedRange sqref="G80:G84" name="Range2"/>
    <protectedRange sqref="G86" name="Range3"/>
    <protectedRange sqref="G88:G90" name="Range4"/>
    <protectedRange sqref="G97:G98" name="Range5"/>
    <protectedRange sqref="G92:G95" name="Range6"/>
    <protectedRange sqref="G100:G108" name="Range7"/>
    <protectedRange sqref="G110" name="Range8"/>
    <protectedRange sqref="G112:G113" name="Range9"/>
    <protectedRange sqref="G115:G116" name="Range10"/>
    <protectedRange sqref="G118:G121" name="Range11"/>
    <protectedRange sqref="G123:G125" name="Range12"/>
    <protectedRange sqref="G127:G128" name="Range13"/>
    <protectedRange sqref="G130:G131" name="Range14"/>
    <protectedRange sqref="G133:G134" name="Range15"/>
    <protectedRange sqref="G136:G137" name="Range16"/>
    <protectedRange sqref="G139:G140" name="Range17"/>
    <protectedRange sqref="G142:G145" name="Range18"/>
    <protectedRange sqref="G147:G148" name="Range19"/>
    <protectedRange sqref="G150:G151" name="Range20"/>
    <protectedRange sqref="G153:G154" name="Range21"/>
    <protectedRange sqref="G156:G157" name="Range22"/>
    <protectedRange sqref="G159:G160" name="Range23"/>
    <protectedRange sqref="G162:G163" name="Range24"/>
    <protectedRange sqref="G165:G166" name="Range25"/>
    <protectedRange sqref="G168:G169" name="Range26"/>
    <protectedRange sqref="G171:G172" name="Range27"/>
    <protectedRange sqref="G175" name="Range28"/>
    <protectedRange sqref="G177:G178" name="Range29"/>
    <protectedRange sqref="G180:G183" name="Range30"/>
    <protectedRange sqref="G185:G188" name="Range31"/>
    <protectedRange sqref="G190:G191" name="Range32"/>
    <protectedRange sqref="G193" name="Range33"/>
    <protectedRange sqref="G195" name="Range34"/>
    <protectedRange sqref="G197" name="Range35"/>
    <protectedRange sqref="G199" name="Range36"/>
    <protectedRange sqref="G201" name="Range37"/>
    <protectedRange sqref="G203" name="Range38"/>
    <protectedRange sqref="G205:G210" name="Range39"/>
    <protectedRange sqref="G212:G213" name="Range40"/>
    <protectedRange sqref="G215" name="Range41"/>
    <protectedRange sqref="G217:G218" name="Range42"/>
    <protectedRange sqref="G220:G224" name="Range43"/>
    <protectedRange sqref="G226" name="Range44"/>
    <protectedRange sqref="G228:G229" name="Range45"/>
    <protectedRange sqref="G231:G235" name="Range46"/>
    <protectedRange sqref="G238:G241" name="Range47"/>
    <protectedRange sqref="G244:G252" name="Range48"/>
    <protectedRange sqref="G254:G262" name="Range49"/>
    <protectedRange sqref="G264:G267" name="Range50"/>
    <protectedRange sqref="G269:G280" name="Range51"/>
    <protectedRange sqref="G282:G291" name="Range52"/>
    <protectedRange sqref="G293:G303" name="Range53"/>
    <protectedRange sqref="G305" name="Range54"/>
    <protectedRange sqref="G307:G308" name="Range55"/>
    <protectedRange sqref="G310:G311" name="Range56"/>
    <protectedRange sqref="G313:G321" name="Range57"/>
    <protectedRange sqref="G323:G331" name="Range58"/>
    <protectedRange sqref="G333:G334" name="Range59"/>
  </protectedRanges>
  <mergeCells count="228">
    <mergeCell ref="G4:G5"/>
    <mergeCell ref="H4:M5"/>
    <mergeCell ref="E6:F7"/>
    <mergeCell ref="G6:G7"/>
    <mergeCell ref="H6:M7"/>
    <mergeCell ref="E4:F5"/>
    <mergeCell ref="A1:M1"/>
    <mergeCell ref="A2:B3"/>
    <mergeCell ref="C2:C3"/>
    <mergeCell ref="D2:D3"/>
    <mergeCell ref="E2:F3"/>
    <mergeCell ref="G2:G3"/>
    <mergeCell ref="H2:M3"/>
    <mergeCell ref="A4:B5"/>
    <mergeCell ref="C4:C5"/>
    <mergeCell ref="D4:D5"/>
    <mergeCell ref="A8:B9"/>
    <mergeCell ref="C8:C9"/>
    <mergeCell ref="D8:D9"/>
    <mergeCell ref="A6:B7"/>
    <mergeCell ref="C6:C7"/>
    <mergeCell ref="D6:D7"/>
    <mergeCell ref="E8:F9"/>
    <mergeCell ref="G8:G9"/>
    <mergeCell ref="H8:M9"/>
    <mergeCell ref="C10:D10"/>
    <mergeCell ref="H10:J10"/>
    <mergeCell ref="K10:L10"/>
    <mergeCell ref="C11:D11"/>
    <mergeCell ref="C12:D12"/>
    <mergeCell ref="C13:D13"/>
    <mergeCell ref="C15:D15"/>
    <mergeCell ref="C16:D16"/>
    <mergeCell ref="C17:M17"/>
    <mergeCell ref="C19:D19"/>
    <mergeCell ref="C21:D21"/>
    <mergeCell ref="C23:D23"/>
    <mergeCell ref="C24:D24"/>
    <mergeCell ref="C26:D26"/>
    <mergeCell ref="C30:M30"/>
    <mergeCell ref="C31:D31"/>
    <mergeCell ref="C32:M32"/>
    <mergeCell ref="C34:D34"/>
    <mergeCell ref="C37:D37"/>
    <mergeCell ref="C39:D39"/>
    <mergeCell ref="C40:D40"/>
    <mergeCell ref="C43:D43"/>
    <mergeCell ref="C46:D46"/>
    <mergeCell ref="C48:D48"/>
    <mergeCell ref="C50:D50"/>
    <mergeCell ref="C52:D52"/>
    <mergeCell ref="C53:M53"/>
    <mergeCell ref="C55:D55"/>
    <mergeCell ref="C58:D58"/>
    <mergeCell ref="C60:M60"/>
    <mergeCell ref="C61:D61"/>
    <mergeCell ref="C63:D63"/>
    <mergeCell ref="C66:D66"/>
    <mergeCell ref="C67:D67"/>
    <mergeCell ref="C68:D68"/>
    <mergeCell ref="C70:D70"/>
    <mergeCell ref="C72:M72"/>
    <mergeCell ref="C73:D73"/>
    <mergeCell ref="C76:D76"/>
    <mergeCell ref="C78:D78"/>
    <mergeCell ref="C79:D79"/>
    <mergeCell ref="C80:D80"/>
    <mergeCell ref="C82:D82"/>
    <mergeCell ref="C84:D84"/>
    <mergeCell ref="C85:M85"/>
    <mergeCell ref="C87:M87"/>
    <mergeCell ref="C88:D88"/>
    <mergeCell ref="C90:D90"/>
    <mergeCell ref="C91:D91"/>
    <mergeCell ref="C92:D92"/>
    <mergeCell ref="C94:D94"/>
    <mergeCell ref="C96:M96"/>
    <mergeCell ref="C97:D97"/>
    <mergeCell ref="C99:D99"/>
    <mergeCell ref="C100:D100"/>
    <mergeCell ref="C102:D102"/>
    <mergeCell ref="C104:D104"/>
    <mergeCell ref="C106:D106"/>
    <mergeCell ref="C108:D108"/>
    <mergeCell ref="C109:D109"/>
    <mergeCell ref="C110:D110"/>
    <mergeCell ref="C111:M111"/>
    <mergeCell ref="C113:D113"/>
    <mergeCell ref="C114:M114"/>
    <mergeCell ref="C116:D116"/>
    <mergeCell ref="C117:M117"/>
    <mergeCell ref="C119:D119"/>
    <mergeCell ref="C120:D120"/>
    <mergeCell ref="C121:D121"/>
    <mergeCell ref="C122:M122"/>
    <mergeCell ref="C124:D124"/>
    <mergeCell ref="C126:M126"/>
    <mergeCell ref="C127:D127"/>
    <mergeCell ref="C129:M129"/>
    <mergeCell ref="C130:D130"/>
    <mergeCell ref="C132:M132"/>
    <mergeCell ref="C133:D133"/>
    <mergeCell ref="C135:M135"/>
    <mergeCell ref="C136:D136"/>
    <mergeCell ref="C138:M138"/>
    <mergeCell ref="C139:D139"/>
    <mergeCell ref="C141:M141"/>
    <mergeCell ref="C142:D142"/>
    <mergeCell ref="C146:M146"/>
    <mergeCell ref="C147:D147"/>
    <mergeCell ref="C149:M149"/>
    <mergeCell ref="C150:D150"/>
    <mergeCell ref="C152:M152"/>
    <mergeCell ref="C153:D153"/>
    <mergeCell ref="C155:M155"/>
    <mergeCell ref="C156:D156"/>
    <mergeCell ref="C158:M158"/>
    <mergeCell ref="C159:D159"/>
    <mergeCell ref="C161:M161"/>
    <mergeCell ref="C162:D162"/>
    <mergeCell ref="C164:M164"/>
    <mergeCell ref="C165:D165"/>
    <mergeCell ref="C167:M167"/>
    <mergeCell ref="C168:D168"/>
    <mergeCell ref="C170:M170"/>
    <mergeCell ref="C171:D171"/>
    <mergeCell ref="C173:M173"/>
    <mergeCell ref="C174:M174"/>
    <mergeCell ref="C175:D175"/>
    <mergeCell ref="C176:D176"/>
    <mergeCell ref="C177:D177"/>
    <mergeCell ref="C179:M179"/>
    <mergeCell ref="C180:D180"/>
    <mergeCell ref="C182:D182"/>
    <mergeCell ref="C184:M184"/>
    <mergeCell ref="C185:D185"/>
    <mergeCell ref="C187:D187"/>
    <mergeCell ref="C189:M189"/>
    <mergeCell ref="C190:D190"/>
    <mergeCell ref="C192:M192"/>
    <mergeCell ref="C193:D193"/>
    <mergeCell ref="C194:M194"/>
    <mergeCell ref="C196:M196"/>
    <mergeCell ref="C197:D197"/>
    <mergeCell ref="C198:M198"/>
    <mergeCell ref="C200:M200"/>
    <mergeCell ref="C201:D201"/>
    <mergeCell ref="C202:M202"/>
    <mergeCell ref="C204:M204"/>
    <mergeCell ref="C205:D205"/>
    <mergeCell ref="C207:D207"/>
    <mergeCell ref="C209:D209"/>
    <mergeCell ref="C211:M211"/>
    <mergeCell ref="C212:D212"/>
    <mergeCell ref="C214:M214"/>
    <mergeCell ref="C215:D215"/>
    <mergeCell ref="C216:D216"/>
    <mergeCell ref="C217:D217"/>
    <mergeCell ref="C219:M219"/>
    <mergeCell ref="C220:D220"/>
    <mergeCell ref="C222:D222"/>
    <mergeCell ref="C225:M225"/>
    <mergeCell ref="C226:D226"/>
    <mergeCell ref="C227:D227"/>
    <mergeCell ref="C228:D228"/>
    <mergeCell ref="C230:M230"/>
    <mergeCell ref="C231:D231"/>
    <mergeCell ref="C234:D234"/>
    <mergeCell ref="C236:M236"/>
    <mergeCell ref="C237:D237"/>
    <mergeCell ref="C238:D238"/>
    <mergeCell ref="C240:D240"/>
    <mergeCell ref="C242:M242"/>
    <mergeCell ref="C243:D243"/>
    <mergeCell ref="C244:D244"/>
    <mergeCell ref="C248:D248"/>
    <mergeCell ref="C251:D251"/>
    <mergeCell ref="C253:M253"/>
    <mergeCell ref="C254:D254"/>
    <mergeCell ref="C256:D256"/>
    <mergeCell ref="C258:D258"/>
    <mergeCell ref="C260:D260"/>
    <mergeCell ref="C262:D262"/>
    <mergeCell ref="C263:D263"/>
    <mergeCell ref="C264:D264"/>
    <mergeCell ref="C266:D266"/>
    <mergeCell ref="C268:M268"/>
    <mergeCell ref="C269:D269"/>
    <mergeCell ref="C271:D271"/>
    <mergeCell ref="C273:D273"/>
    <mergeCell ref="C275:D275"/>
    <mergeCell ref="C277:D277"/>
    <mergeCell ref="C279:D279"/>
    <mergeCell ref="C281:D281"/>
    <mergeCell ref="C282:D282"/>
    <mergeCell ref="C284:D284"/>
    <mergeCell ref="C286:D286"/>
    <mergeCell ref="C288:D288"/>
    <mergeCell ref="C290:D290"/>
    <mergeCell ref="C292:M292"/>
    <mergeCell ref="C293:D293"/>
    <mergeCell ref="C295:D295"/>
    <mergeCell ref="C297:D297"/>
    <mergeCell ref="C299:D299"/>
    <mergeCell ref="C301:D301"/>
    <mergeCell ref="C303:D303"/>
    <mergeCell ref="C304:D304"/>
    <mergeCell ref="C305:D305"/>
    <mergeCell ref="C306:M306"/>
    <mergeCell ref="C308:D308"/>
    <mergeCell ref="C309:M309"/>
    <mergeCell ref="C329:D329"/>
    <mergeCell ref="C311:D311"/>
    <mergeCell ref="C312:M312"/>
    <mergeCell ref="C314:D314"/>
    <mergeCell ref="C317:D317"/>
    <mergeCell ref="C319:D319"/>
    <mergeCell ref="C321:D321"/>
    <mergeCell ref="C331:D331"/>
    <mergeCell ref="C332:D332"/>
    <mergeCell ref="C333:D333"/>
    <mergeCell ref="H335:I335"/>
    <mergeCell ref="A337:M337"/>
    <mergeCell ref="C322:M322"/>
    <mergeCell ref="C324:D324"/>
    <mergeCell ref="C325:D325"/>
    <mergeCell ref="C326:D326"/>
    <mergeCell ref="C328:D328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J1" sqref="J1"/>
    </sheetView>
  </sheetViews>
  <sheetFormatPr defaultColWidth="9.140625" defaultRowHeight="12.75"/>
  <cols>
    <col min="2" max="2" width="21.8515625" style="0" customWidth="1"/>
    <col min="3" max="3" width="42.28125" style="0" customWidth="1"/>
  </cols>
  <sheetData>
    <row r="1" spans="1:9" ht="12.75">
      <c r="A1" s="41"/>
      <c r="B1" s="42"/>
      <c r="C1" s="41"/>
      <c r="D1" s="41"/>
      <c r="E1" s="41"/>
      <c r="F1" s="41"/>
      <c r="G1" s="41"/>
      <c r="H1" s="41"/>
      <c r="I1" s="41"/>
    </row>
    <row r="2" spans="1:9" ht="12.75">
      <c r="A2" s="288" t="s">
        <v>697</v>
      </c>
      <c r="B2" s="289"/>
      <c r="C2" s="289"/>
      <c r="D2" s="289"/>
      <c r="E2" s="289"/>
      <c r="F2" s="289"/>
      <c r="G2" s="289"/>
      <c r="H2" s="289"/>
      <c r="I2" s="289"/>
    </row>
    <row r="3" spans="1:9" ht="12.75">
      <c r="A3" s="290" t="s">
        <v>795</v>
      </c>
      <c r="B3" s="290"/>
      <c r="C3" s="290"/>
      <c r="D3" s="290"/>
      <c r="E3" s="290"/>
      <c r="F3" s="291" t="s">
        <v>699</v>
      </c>
      <c r="G3" s="292"/>
      <c r="H3" s="291" t="s">
        <v>700</v>
      </c>
      <c r="I3" s="292"/>
    </row>
    <row r="4" spans="1:9" ht="13.5" thickBot="1">
      <c r="A4" s="43" t="s">
        <v>701</v>
      </c>
      <c r="B4" s="44" t="s">
        <v>702</v>
      </c>
      <c r="C4" s="43" t="s">
        <v>703</v>
      </c>
      <c r="D4" s="45" t="s">
        <v>563</v>
      </c>
      <c r="E4" s="46" t="s">
        <v>704</v>
      </c>
      <c r="F4" s="47" t="s">
        <v>705</v>
      </c>
      <c r="G4" s="47" t="s">
        <v>706</v>
      </c>
      <c r="H4" s="47" t="s">
        <v>707</v>
      </c>
      <c r="I4" s="47" t="s">
        <v>706</v>
      </c>
    </row>
    <row r="5" spans="1:9" ht="13.5" thickTop="1">
      <c r="A5" s="48"/>
      <c r="B5" s="49"/>
      <c r="C5" s="48"/>
      <c r="D5" s="50"/>
      <c r="E5" s="51"/>
      <c r="F5" s="52"/>
      <c r="G5" s="52"/>
      <c r="H5" s="52"/>
      <c r="I5" s="52"/>
    </row>
    <row r="6" spans="1:9" ht="12.75">
      <c r="A6" s="53"/>
      <c r="B6" s="54" t="s">
        <v>708</v>
      </c>
      <c r="C6" s="55" t="s">
        <v>709</v>
      </c>
      <c r="D6" s="56"/>
      <c r="E6" s="51"/>
      <c r="F6" s="57"/>
      <c r="G6" s="57"/>
      <c r="H6" s="57" t="s">
        <v>710</v>
      </c>
      <c r="I6" s="57"/>
    </row>
    <row r="7" spans="1:9" ht="12.75">
      <c r="A7" s="53">
        <v>1</v>
      </c>
      <c r="B7" s="54"/>
      <c r="C7" s="56" t="s">
        <v>711</v>
      </c>
      <c r="D7" s="56"/>
      <c r="E7" s="58"/>
      <c r="F7" s="57"/>
      <c r="G7" s="57"/>
      <c r="H7" s="57"/>
      <c r="I7" s="57">
        <f>G34</f>
        <v>0</v>
      </c>
    </row>
    <row r="8" spans="1:9" ht="12.75">
      <c r="A8" s="53">
        <v>2</v>
      </c>
      <c r="B8" s="54"/>
      <c r="C8" s="56" t="s">
        <v>712</v>
      </c>
      <c r="D8" s="56"/>
      <c r="E8" s="58"/>
      <c r="F8" s="57"/>
      <c r="G8" s="57"/>
      <c r="H8" s="57"/>
      <c r="I8" s="57">
        <f>I34</f>
        <v>0</v>
      </c>
    </row>
    <row r="9" spans="1:9" ht="12.75">
      <c r="A9" s="53">
        <v>3</v>
      </c>
      <c r="B9" s="54"/>
      <c r="C9" s="56" t="s">
        <v>713</v>
      </c>
      <c r="D9" s="56"/>
      <c r="E9" s="58"/>
      <c r="F9" s="57"/>
      <c r="G9" s="57"/>
      <c r="H9" s="57"/>
      <c r="I9" s="57">
        <f>G57</f>
        <v>0</v>
      </c>
    </row>
    <row r="10" spans="1:9" ht="12.75">
      <c r="A10" s="53">
        <v>4</v>
      </c>
      <c r="B10" s="59"/>
      <c r="C10" s="60" t="s">
        <v>714</v>
      </c>
      <c r="D10" s="60"/>
      <c r="E10" s="61"/>
      <c r="F10" s="62"/>
      <c r="G10" s="62"/>
      <c r="H10" s="62"/>
      <c r="I10" s="62">
        <f>I57</f>
        <v>0</v>
      </c>
    </row>
    <row r="11" spans="1:9" ht="12.75">
      <c r="A11" s="53">
        <v>5</v>
      </c>
      <c r="B11" s="59"/>
      <c r="C11" s="60" t="s">
        <v>715</v>
      </c>
      <c r="D11" s="60"/>
      <c r="E11" s="61"/>
      <c r="F11" s="62"/>
      <c r="G11" s="62"/>
      <c r="H11" s="62"/>
      <c r="I11" s="62">
        <f>G77</f>
        <v>0</v>
      </c>
    </row>
    <row r="12" spans="1:9" ht="12.75">
      <c r="A12" s="53">
        <v>6</v>
      </c>
      <c r="B12" s="59"/>
      <c r="C12" s="60" t="s">
        <v>716</v>
      </c>
      <c r="D12" s="60"/>
      <c r="E12" s="61"/>
      <c r="F12" s="62"/>
      <c r="G12" s="62"/>
      <c r="H12" s="62"/>
      <c r="I12" s="62">
        <f>I77</f>
        <v>0</v>
      </c>
    </row>
    <row r="13" spans="1:9" ht="12.75">
      <c r="A13" s="63">
        <v>7</v>
      </c>
      <c r="B13" s="64"/>
      <c r="C13" s="65" t="s">
        <v>717</v>
      </c>
      <c r="D13" s="65"/>
      <c r="E13" s="66"/>
      <c r="F13" s="67"/>
      <c r="G13" s="67"/>
      <c r="H13" s="67"/>
      <c r="I13" s="68">
        <f>SUM(I7:I12)</f>
        <v>0</v>
      </c>
    </row>
    <row r="14" spans="1:9" ht="12.75">
      <c r="A14" s="53"/>
      <c r="B14" s="69"/>
      <c r="C14" s="56"/>
      <c r="D14" s="56"/>
      <c r="E14" s="58"/>
      <c r="F14" s="57"/>
      <c r="G14" s="57"/>
      <c r="H14" s="57"/>
      <c r="I14" s="70"/>
    </row>
    <row r="15" spans="1:9" ht="12.75">
      <c r="A15" s="71"/>
      <c r="B15" s="72"/>
      <c r="C15" s="73" t="s">
        <v>718</v>
      </c>
      <c r="D15" s="74"/>
      <c r="E15" s="51"/>
      <c r="F15" s="75"/>
      <c r="G15" s="75"/>
      <c r="H15" s="75"/>
      <c r="I15" s="76"/>
    </row>
    <row r="16" spans="1:9" ht="12.75">
      <c r="A16" s="53">
        <v>1</v>
      </c>
      <c r="B16" s="77" t="s">
        <v>719</v>
      </c>
      <c r="C16" s="56" t="s">
        <v>720</v>
      </c>
      <c r="D16" s="56" t="s">
        <v>567</v>
      </c>
      <c r="E16" s="51">
        <v>68</v>
      </c>
      <c r="F16" s="176"/>
      <c r="G16" s="57">
        <f>E16*F16</f>
        <v>0</v>
      </c>
      <c r="H16" s="176"/>
      <c r="I16" s="57">
        <f>E16*H16</f>
        <v>0</v>
      </c>
    </row>
    <row r="17" spans="1:9" ht="12.75">
      <c r="A17" s="53">
        <v>2</v>
      </c>
      <c r="B17" s="77" t="s">
        <v>721</v>
      </c>
      <c r="C17" s="56" t="s">
        <v>722</v>
      </c>
      <c r="D17" s="56" t="s">
        <v>567</v>
      </c>
      <c r="E17" s="51">
        <v>124</v>
      </c>
      <c r="F17" s="176"/>
      <c r="G17" s="57">
        <f aca="true" t="shared" si="0" ref="G17:G33">E17*F17</f>
        <v>0</v>
      </c>
      <c r="H17" s="176"/>
      <c r="I17" s="57">
        <f aca="true" t="shared" si="1" ref="I17:I33">E17*H17</f>
        <v>0</v>
      </c>
    </row>
    <row r="18" spans="1:9" ht="12.75">
      <c r="A18" s="53">
        <v>3</v>
      </c>
      <c r="B18" s="77" t="s">
        <v>723</v>
      </c>
      <c r="C18" s="56" t="s">
        <v>724</v>
      </c>
      <c r="D18" s="56" t="s">
        <v>567</v>
      </c>
      <c r="E18" s="51">
        <v>42</v>
      </c>
      <c r="F18" s="176"/>
      <c r="G18" s="57">
        <f t="shared" si="0"/>
        <v>0</v>
      </c>
      <c r="H18" s="176"/>
      <c r="I18" s="57">
        <f t="shared" si="1"/>
        <v>0</v>
      </c>
    </row>
    <row r="19" spans="1:9" ht="12.75">
      <c r="A19" s="53">
        <v>4</v>
      </c>
      <c r="B19" s="77" t="s">
        <v>725</v>
      </c>
      <c r="C19" s="56" t="s">
        <v>726</v>
      </c>
      <c r="D19" s="56" t="s">
        <v>727</v>
      </c>
      <c r="E19" s="51">
        <v>2</v>
      </c>
      <c r="F19" s="176"/>
      <c r="G19" s="57">
        <f t="shared" si="0"/>
        <v>0</v>
      </c>
      <c r="H19" s="176"/>
      <c r="I19" s="57">
        <f t="shared" si="1"/>
        <v>0</v>
      </c>
    </row>
    <row r="20" spans="1:9" ht="12.75">
      <c r="A20" s="53">
        <v>5</v>
      </c>
      <c r="B20" s="77" t="s">
        <v>728</v>
      </c>
      <c r="C20" s="56" t="s">
        <v>729</v>
      </c>
      <c r="D20" s="56" t="s">
        <v>727</v>
      </c>
      <c r="E20" s="51">
        <v>1</v>
      </c>
      <c r="F20" s="176"/>
      <c r="G20" s="57">
        <f t="shared" si="0"/>
        <v>0</v>
      </c>
      <c r="H20" s="176"/>
      <c r="I20" s="57">
        <f t="shared" si="1"/>
        <v>0</v>
      </c>
    </row>
    <row r="21" spans="1:9" ht="12.75">
      <c r="A21" s="53">
        <v>6</v>
      </c>
      <c r="B21" s="77" t="s">
        <v>730</v>
      </c>
      <c r="C21" s="56" t="s">
        <v>731</v>
      </c>
      <c r="D21" s="56" t="s">
        <v>567</v>
      </c>
      <c r="E21" s="51">
        <v>86</v>
      </c>
      <c r="F21" s="176"/>
      <c r="G21" s="57">
        <f t="shared" si="0"/>
        <v>0</v>
      </c>
      <c r="H21" s="176"/>
      <c r="I21" s="57">
        <f t="shared" si="1"/>
        <v>0</v>
      </c>
    </row>
    <row r="22" spans="1:9" ht="12.75">
      <c r="A22" s="53">
        <v>7</v>
      </c>
      <c r="B22" s="77" t="s">
        <v>732</v>
      </c>
      <c r="C22" s="56" t="s">
        <v>733</v>
      </c>
      <c r="D22" s="56" t="s">
        <v>727</v>
      </c>
      <c r="E22" s="51">
        <v>6</v>
      </c>
      <c r="F22" s="176"/>
      <c r="G22" s="57">
        <f t="shared" si="0"/>
        <v>0</v>
      </c>
      <c r="H22" s="176"/>
      <c r="I22" s="57">
        <f t="shared" si="1"/>
        <v>0</v>
      </c>
    </row>
    <row r="23" spans="1:9" ht="12.75">
      <c r="A23" s="53">
        <v>8</v>
      </c>
      <c r="B23" s="77" t="s">
        <v>734</v>
      </c>
      <c r="C23" s="56" t="s">
        <v>735</v>
      </c>
      <c r="D23" s="56" t="s">
        <v>727</v>
      </c>
      <c r="E23" s="51">
        <v>6</v>
      </c>
      <c r="F23" s="176"/>
      <c r="G23" s="57">
        <f t="shared" si="0"/>
        <v>0</v>
      </c>
      <c r="H23" s="176"/>
      <c r="I23" s="57">
        <f t="shared" si="1"/>
        <v>0</v>
      </c>
    </row>
    <row r="24" spans="1:9" ht="12.75">
      <c r="A24" s="53">
        <v>9</v>
      </c>
      <c r="B24" s="77" t="s">
        <v>730</v>
      </c>
      <c r="C24" s="56" t="s">
        <v>736</v>
      </c>
      <c r="D24" s="56" t="s">
        <v>567</v>
      </c>
      <c r="E24" s="51">
        <v>76</v>
      </c>
      <c r="F24" s="176"/>
      <c r="G24" s="57">
        <f t="shared" si="0"/>
        <v>0</v>
      </c>
      <c r="H24" s="176"/>
      <c r="I24" s="57">
        <f t="shared" si="1"/>
        <v>0</v>
      </c>
    </row>
    <row r="25" spans="1:9" ht="67.5">
      <c r="A25" s="53">
        <v>10</v>
      </c>
      <c r="B25" s="77" t="s">
        <v>737</v>
      </c>
      <c r="C25" s="56" t="s">
        <v>738</v>
      </c>
      <c r="D25" s="56" t="s">
        <v>727</v>
      </c>
      <c r="E25" s="51">
        <v>4</v>
      </c>
      <c r="F25" s="176"/>
      <c r="G25" s="57">
        <f t="shared" si="0"/>
        <v>0</v>
      </c>
      <c r="H25" s="176"/>
      <c r="I25" s="57">
        <f t="shared" si="1"/>
        <v>0</v>
      </c>
    </row>
    <row r="26" spans="1:9" ht="33.75">
      <c r="A26" s="53">
        <v>11</v>
      </c>
      <c r="B26" s="77" t="s">
        <v>737</v>
      </c>
      <c r="C26" s="56" t="s">
        <v>739</v>
      </c>
      <c r="D26" s="56" t="s">
        <v>727</v>
      </c>
      <c r="E26" s="51">
        <v>6</v>
      </c>
      <c r="F26" s="176"/>
      <c r="G26" s="57">
        <f t="shared" si="0"/>
        <v>0</v>
      </c>
      <c r="H26" s="176"/>
      <c r="I26" s="57">
        <f t="shared" si="1"/>
        <v>0</v>
      </c>
    </row>
    <row r="27" spans="1:9" ht="12.75">
      <c r="A27" s="53">
        <v>12</v>
      </c>
      <c r="B27" s="77" t="s">
        <v>740</v>
      </c>
      <c r="C27" s="56" t="s">
        <v>741</v>
      </c>
      <c r="D27" s="56" t="s">
        <v>567</v>
      </c>
      <c r="E27" s="51">
        <v>28</v>
      </c>
      <c r="F27" s="176"/>
      <c r="G27" s="57">
        <f t="shared" si="0"/>
        <v>0</v>
      </c>
      <c r="H27" s="176"/>
      <c r="I27" s="57">
        <f t="shared" si="1"/>
        <v>0</v>
      </c>
    </row>
    <row r="28" spans="1:9" ht="12.75">
      <c r="A28" s="53">
        <v>13</v>
      </c>
      <c r="B28" s="77" t="s">
        <v>742</v>
      </c>
      <c r="C28" s="56" t="s">
        <v>743</v>
      </c>
      <c r="D28" s="56" t="s">
        <v>727</v>
      </c>
      <c r="E28" s="51">
        <v>6</v>
      </c>
      <c r="F28" s="176"/>
      <c r="G28" s="57">
        <f t="shared" si="0"/>
        <v>0</v>
      </c>
      <c r="H28" s="176"/>
      <c r="I28" s="57">
        <f t="shared" si="1"/>
        <v>0</v>
      </c>
    </row>
    <row r="29" spans="1:9" ht="12.75">
      <c r="A29" s="53">
        <v>14</v>
      </c>
      <c r="B29" s="78" t="s">
        <v>744</v>
      </c>
      <c r="C29" s="56" t="s">
        <v>745</v>
      </c>
      <c r="D29" s="56" t="s">
        <v>746</v>
      </c>
      <c r="E29" s="51">
        <v>8</v>
      </c>
      <c r="F29" s="176"/>
      <c r="G29" s="57">
        <f t="shared" si="0"/>
        <v>0</v>
      </c>
      <c r="H29" s="176"/>
      <c r="I29" s="57">
        <f t="shared" si="1"/>
        <v>0</v>
      </c>
    </row>
    <row r="30" spans="1:9" ht="12.75">
      <c r="A30" s="53">
        <v>15</v>
      </c>
      <c r="B30" s="78" t="s">
        <v>744</v>
      </c>
      <c r="C30" s="56" t="s">
        <v>747</v>
      </c>
      <c r="D30" s="56" t="s">
        <v>746</v>
      </c>
      <c r="E30" s="51">
        <v>2</v>
      </c>
      <c r="F30" s="176"/>
      <c r="G30" s="57">
        <f t="shared" si="0"/>
        <v>0</v>
      </c>
      <c r="H30" s="176"/>
      <c r="I30" s="57">
        <f t="shared" si="1"/>
        <v>0</v>
      </c>
    </row>
    <row r="31" spans="1:9" ht="12.75">
      <c r="A31" s="53">
        <v>16</v>
      </c>
      <c r="B31" s="78" t="s">
        <v>744</v>
      </c>
      <c r="C31" s="56" t="s">
        <v>748</v>
      </c>
      <c r="D31" s="56" t="s">
        <v>727</v>
      </c>
      <c r="E31" s="51">
        <v>1</v>
      </c>
      <c r="F31" s="176"/>
      <c r="G31" s="57">
        <f t="shared" si="0"/>
        <v>0</v>
      </c>
      <c r="H31" s="176"/>
      <c r="I31" s="57">
        <f t="shared" si="1"/>
        <v>0</v>
      </c>
    </row>
    <row r="32" spans="1:9" ht="12.75">
      <c r="A32" s="53">
        <v>17</v>
      </c>
      <c r="B32" s="53">
        <v>740991200</v>
      </c>
      <c r="C32" s="56" t="s">
        <v>749</v>
      </c>
      <c r="D32" s="56" t="s">
        <v>727</v>
      </c>
      <c r="E32" s="51">
        <v>1</v>
      </c>
      <c r="F32" s="176"/>
      <c r="G32" s="57">
        <f t="shared" si="0"/>
        <v>0</v>
      </c>
      <c r="H32" s="176"/>
      <c r="I32" s="57">
        <f t="shared" si="1"/>
        <v>0</v>
      </c>
    </row>
    <row r="33" spans="1:9" ht="22.5">
      <c r="A33" s="53">
        <v>18</v>
      </c>
      <c r="B33" s="53">
        <v>742991110</v>
      </c>
      <c r="C33" s="56" t="s">
        <v>750</v>
      </c>
      <c r="D33" s="56" t="s">
        <v>727</v>
      </c>
      <c r="E33" s="51">
        <v>6</v>
      </c>
      <c r="F33" s="176"/>
      <c r="G33" s="57">
        <f t="shared" si="0"/>
        <v>0</v>
      </c>
      <c r="H33" s="176"/>
      <c r="I33" s="57">
        <f t="shared" si="1"/>
        <v>0</v>
      </c>
    </row>
    <row r="34" spans="1:9" ht="12.75">
      <c r="A34" s="53">
        <v>19</v>
      </c>
      <c r="B34" s="79"/>
      <c r="C34" s="80" t="s">
        <v>751</v>
      </c>
      <c r="D34" s="80"/>
      <c r="E34" s="81"/>
      <c r="F34" s="82"/>
      <c r="G34" s="83">
        <f>SUM(G16:G33)</f>
        <v>0</v>
      </c>
      <c r="H34" s="83"/>
      <c r="I34" s="83">
        <f>SUM(I16:I33)</f>
        <v>0</v>
      </c>
    </row>
    <row r="35" spans="1:9" ht="12.75">
      <c r="A35" s="53"/>
      <c r="B35" s="53"/>
      <c r="C35" s="56"/>
      <c r="D35" s="56"/>
      <c r="E35" s="51"/>
      <c r="F35" s="57"/>
      <c r="G35" s="57"/>
      <c r="H35" s="57"/>
      <c r="I35" s="57"/>
    </row>
    <row r="36" spans="1:9" ht="12.75">
      <c r="A36" s="53"/>
      <c r="B36" s="53"/>
      <c r="C36" s="55" t="s">
        <v>752</v>
      </c>
      <c r="D36" s="56"/>
      <c r="E36" s="51"/>
      <c r="F36" s="57"/>
      <c r="G36" s="57"/>
      <c r="H36" s="57"/>
      <c r="I36" s="57"/>
    </row>
    <row r="37" spans="1:9" ht="22.5">
      <c r="A37" s="84">
        <v>1</v>
      </c>
      <c r="B37" s="78" t="s">
        <v>753</v>
      </c>
      <c r="C37" s="56" t="s">
        <v>754</v>
      </c>
      <c r="D37" s="56" t="s">
        <v>755</v>
      </c>
      <c r="E37" s="56">
        <v>580</v>
      </c>
      <c r="F37" s="177"/>
      <c r="G37" s="57">
        <f>E37*F37</f>
        <v>0</v>
      </c>
      <c r="H37" s="177"/>
      <c r="I37" s="57">
        <f>E37*H37</f>
        <v>0</v>
      </c>
    </row>
    <row r="38" spans="1:9" ht="45">
      <c r="A38" s="84">
        <v>2</v>
      </c>
      <c r="B38" s="56" t="s">
        <v>753</v>
      </c>
      <c r="C38" s="56" t="s">
        <v>756</v>
      </c>
      <c r="D38" s="56" t="s">
        <v>727</v>
      </c>
      <c r="E38" s="51">
        <v>3</v>
      </c>
      <c r="F38" s="176"/>
      <c r="G38" s="57">
        <f aca="true" t="shared" si="2" ref="G38:G56">E38*F38</f>
        <v>0</v>
      </c>
      <c r="H38" s="176"/>
      <c r="I38" s="57">
        <f aca="true" t="shared" si="3" ref="I38:I56">E38*H38</f>
        <v>0</v>
      </c>
    </row>
    <row r="39" spans="1:9" ht="12.75">
      <c r="A39" s="84">
        <v>3</v>
      </c>
      <c r="B39" s="78" t="s">
        <v>753</v>
      </c>
      <c r="C39" s="56" t="s">
        <v>757</v>
      </c>
      <c r="D39" s="56" t="s">
        <v>727</v>
      </c>
      <c r="E39" s="51">
        <v>14</v>
      </c>
      <c r="F39" s="176"/>
      <c r="G39" s="57">
        <f t="shared" si="2"/>
        <v>0</v>
      </c>
      <c r="H39" s="176"/>
      <c r="I39" s="57">
        <f t="shared" si="3"/>
        <v>0</v>
      </c>
    </row>
    <row r="40" spans="1:9" ht="12.75">
      <c r="A40" s="84">
        <v>4</v>
      </c>
      <c r="B40" s="78" t="s">
        <v>753</v>
      </c>
      <c r="C40" s="56" t="s">
        <v>758</v>
      </c>
      <c r="D40" s="56" t="s">
        <v>727</v>
      </c>
      <c r="E40" s="51">
        <v>6</v>
      </c>
      <c r="F40" s="176"/>
      <c r="G40" s="57">
        <f t="shared" si="2"/>
        <v>0</v>
      </c>
      <c r="H40" s="176"/>
      <c r="I40" s="57">
        <f t="shared" si="3"/>
        <v>0</v>
      </c>
    </row>
    <row r="41" spans="1:9" ht="12.75">
      <c r="A41" s="84">
        <v>5</v>
      </c>
      <c r="B41" s="78" t="s">
        <v>753</v>
      </c>
      <c r="C41" s="56" t="s">
        <v>759</v>
      </c>
      <c r="D41" s="56" t="s">
        <v>727</v>
      </c>
      <c r="E41" s="51">
        <v>28</v>
      </c>
      <c r="F41" s="176"/>
      <c r="G41" s="57">
        <f t="shared" si="2"/>
        <v>0</v>
      </c>
      <c r="H41" s="176"/>
      <c r="I41" s="57">
        <f t="shared" si="3"/>
        <v>0</v>
      </c>
    </row>
    <row r="42" spans="1:9" ht="12.75">
      <c r="A42" s="84">
        <v>6</v>
      </c>
      <c r="B42" s="77">
        <v>35441420</v>
      </c>
      <c r="C42" s="56" t="s">
        <v>760</v>
      </c>
      <c r="D42" s="56" t="s">
        <v>727</v>
      </c>
      <c r="E42" s="51">
        <v>32</v>
      </c>
      <c r="F42" s="176"/>
      <c r="G42" s="57">
        <f t="shared" si="2"/>
        <v>0</v>
      </c>
      <c r="H42" s="176"/>
      <c r="I42" s="57">
        <f t="shared" si="3"/>
        <v>0</v>
      </c>
    </row>
    <row r="43" spans="1:9" ht="12.75">
      <c r="A43" s="84">
        <v>7</v>
      </c>
      <c r="B43" s="77">
        <v>35441475</v>
      </c>
      <c r="C43" s="56" t="s">
        <v>761</v>
      </c>
      <c r="D43" s="56" t="s">
        <v>727</v>
      </c>
      <c r="E43" s="51">
        <v>240</v>
      </c>
      <c r="F43" s="176"/>
      <c r="G43" s="57">
        <f t="shared" si="2"/>
        <v>0</v>
      </c>
      <c r="H43" s="176"/>
      <c r="I43" s="57">
        <f t="shared" si="3"/>
        <v>0</v>
      </c>
    </row>
    <row r="44" spans="1:9" ht="12.75">
      <c r="A44" s="84">
        <v>8</v>
      </c>
      <c r="B44" s="77" t="s">
        <v>762</v>
      </c>
      <c r="C44" s="56" t="s">
        <v>763</v>
      </c>
      <c r="D44" s="56" t="s">
        <v>727</v>
      </c>
      <c r="E44" s="51">
        <v>14</v>
      </c>
      <c r="F44" s="176"/>
      <c r="G44" s="57">
        <f t="shared" si="2"/>
        <v>0</v>
      </c>
      <c r="H44" s="176"/>
      <c r="I44" s="57">
        <f t="shared" si="3"/>
        <v>0</v>
      </c>
    </row>
    <row r="45" spans="1:9" ht="12.75">
      <c r="A45" s="84">
        <v>9</v>
      </c>
      <c r="B45" s="77" t="s">
        <v>764</v>
      </c>
      <c r="C45" s="56" t="s">
        <v>765</v>
      </c>
      <c r="D45" s="56" t="s">
        <v>727</v>
      </c>
      <c r="E45" s="51">
        <v>9</v>
      </c>
      <c r="F45" s="176"/>
      <c r="G45" s="57">
        <f t="shared" si="2"/>
        <v>0</v>
      </c>
      <c r="H45" s="176"/>
      <c r="I45" s="57">
        <f t="shared" si="3"/>
        <v>0</v>
      </c>
    </row>
    <row r="46" spans="1:9" ht="12.75">
      <c r="A46" s="84">
        <v>10</v>
      </c>
      <c r="B46" s="77" t="s">
        <v>766</v>
      </c>
      <c r="C46" s="56" t="s">
        <v>767</v>
      </c>
      <c r="D46" s="56" t="s">
        <v>727</v>
      </c>
      <c r="E46" s="51">
        <v>416</v>
      </c>
      <c r="F46" s="176"/>
      <c r="G46" s="57">
        <f t="shared" si="2"/>
        <v>0</v>
      </c>
      <c r="H46" s="176"/>
      <c r="I46" s="57">
        <f t="shared" si="3"/>
        <v>0</v>
      </c>
    </row>
    <row r="47" spans="1:9" ht="12.75">
      <c r="A47" s="84">
        <v>11</v>
      </c>
      <c r="B47" s="77" t="s">
        <v>766</v>
      </c>
      <c r="C47" s="56" t="s">
        <v>768</v>
      </c>
      <c r="D47" s="56" t="s">
        <v>727</v>
      </c>
      <c r="E47" s="51">
        <v>32</v>
      </c>
      <c r="F47" s="176"/>
      <c r="G47" s="57">
        <f t="shared" si="2"/>
        <v>0</v>
      </c>
      <c r="H47" s="176"/>
      <c r="I47" s="57">
        <f t="shared" si="3"/>
        <v>0</v>
      </c>
    </row>
    <row r="48" spans="1:9" ht="12.75">
      <c r="A48" s="84">
        <v>12</v>
      </c>
      <c r="B48" s="77" t="s">
        <v>769</v>
      </c>
      <c r="C48" s="56" t="s">
        <v>770</v>
      </c>
      <c r="D48" s="56" t="s">
        <v>727</v>
      </c>
      <c r="E48" s="51">
        <v>76</v>
      </c>
      <c r="F48" s="176"/>
      <c r="G48" s="57">
        <f t="shared" si="2"/>
        <v>0</v>
      </c>
      <c r="H48" s="176"/>
      <c r="I48" s="57">
        <f t="shared" si="3"/>
        <v>0</v>
      </c>
    </row>
    <row r="49" spans="1:9" ht="12.75">
      <c r="A49" s="84">
        <v>13</v>
      </c>
      <c r="B49" s="77" t="s">
        <v>771</v>
      </c>
      <c r="C49" s="56" t="s">
        <v>772</v>
      </c>
      <c r="D49" s="56" t="s">
        <v>727</v>
      </c>
      <c r="E49" s="51">
        <v>22</v>
      </c>
      <c r="F49" s="176"/>
      <c r="G49" s="57">
        <f t="shared" si="2"/>
        <v>0</v>
      </c>
      <c r="H49" s="176"/>
      <c r="I49" s="57">
        <f t="shared" si="3"/>
        <v>0</v>
      </c>
    </row>
    <row r="50" spans="1:9" ht="12.75">
      <c r="A50" s="84">
        <v>14</v>
      </c>
      <c r="B50" s="77" t="s">
        <v>773</v>
      </c>
      <c r="C50" s="56" t="s">
        <v>774</v>
      </c>
      <c r="D50" s="56" t="s">
        <v>727</v>
      </c>
      <c r="E50" s="51">
        <v>68</v>
      </c>
      <c r="F50" s="176"/>
      <c r="G50" s="57">
        <f t="shared" si="2"/>
        <v>0</v>
      </c>
      <c r="H50" s="176"/>
      <c r="I50" s="57">
        <f t="shared" si="3"/>
        <v>0</v>
      </c>
    </row>
    <row r="51" spans="1:9" ht="12.75">
      <c r="A51" s="84">
        <v>15</v>
      </c>
      <c r="B51" s="78" t="s">
        <v>744</v>
      </c>
      <c r="C51" s="56" t="s">
        <v>775</v>
      </c>
      <c r="D51" s="56" t="s">
        <v>727</v>
      </c>
      <c r="E51" s="51">
        <v>6</v>
      </c>
      <c r="F51" s="176"/>
      <c r="G51" s="57">
        <f t="shared" si="2"/>
        <v>0</v>
      </c>
      <c r="H51" s="176"/>
      <c r="I51" s="57">
        <f t="shared" si="3"/>
        <v>0</v>
      </c>
    </row>
    <row r="52" spans="1:9" ht="22.5">
      <c r="A52" s="84">
        <v>16</v>
      </c>
      <c r="B52" s="78" t="s">
        <v>744</v>
      </c>
      <c r="C52" s="56" t="s">
        <v>776</v>
      </c>
      <c r="D52" s="56" t="s">
        <v>727</v>
      </c>
      <c r="E52" s="51">
        <v>1</v>
      </c>
      <c r="F52" s="176"/>
      <c r="G52" s="57">
        <f t="shared" si="2"/>
        <v>0</v>
      </c>
      <c r="H52" s="176"/>
      <c r="I52" s="57">
        <f t="shared" si="3"/>
        <v>0</v>
      </c>
    </row>
    <row r="53" spans="1:9" ht="12.75">
      <c r="A53" s="84">
        <v>17</v>
      </c>
      <c r="B53" s="78" t="s">
        <v>744</v>
      </c>
      <c r="C53" s="56" t="s">
        <v>777</v>
      </c>
      <c r="D53" s="56" t="s">
        <v>746</v>
      </c>
      <c r="E53" s="51">
        <v>48</v>
      </c>
      <c r="F53" s="176"/>
      <c r="G53" s="57">
        <f t="shared" si="2"/>
        <v>0</v>
      </c>
      <c r="H53" s="176"/>
      <c r="I53" s="57">
        <f t="shared" si="3"/>
        <v>0</v>
      </c>
    </row>
    <row r="54" spans="1:9" ht="22.5">
      <c r="A54" s="84">
        <v>18</v>
      </c>
      <c r="B54" s="78" t="s">
        <v>744</v>
      </c>
      <c r="C54" s="56" t="s">
        <v>778</v>
      </c>
      <c r="D54" s="56" t="s">
        <v>746</v>
      </c>
      <c r="E54" s="51">
        <v>6</v>
      </c>
      <c r="F54" s="176"/>
      <c r="G54" s="57">
        <f t="shared" si="2"/>
        <v>0</v>
      </c>
      <c r="H54" s="176"/>
      <c r="I54" s="57">
        <f t="shared" si="3"/>
        <v>0</v>
      </c>
    </row>
    <row r="55" spans="1:9" ht="12.75">
      <c r="A55" s="84">
        <v>19</v>
      </c>
      <c r="B55" s="78" t="s">
        <v>744</v>
      </c>
      <c r="C55" s="56" t="s">
        <v>745</v>
      </c>
      <c r="D55" s="56" t="s">
        <v>746</v>
      </c>
      <c r="E55" s="51">
        <v>16</v>
      </c>
      <c r="F55" s="176"/>
      <c r="G55" s="57">
        <f t="shared" si="2"/>
        <v>0</v>
      </c>
      <c r="H55" s="176"/>
      <c r="I55" s="57">
        <f t="shared" si="3"/>
        <v>0</v>
      </c>
    </row>
    <row r="56" spans="1:9" ht="22.5">
      <c r="A56" s="84">
        <v>20</v>
      </c>
      <c r="B56" s="85">
        <v>740991100</v>
      </c>
      <c r="C56" s="86" t="s">
        <v>779</v>
      </c>
      <c r="D56" s="86" t="s">
        <v>727</v>
      </c>
      <c r="E56" s="87">
        <v>1</v>
      </c>
      <c r="F56" s="178"/>
      <c r="G56" s="57">
        <f t="shared" si="2"/>
        <v>0</v>
      </c>
      <c r="H56" s="178"/>
      <c r="I56" s="57">
        <f t="shared" si="3"/>
        <v>0</v>
      </c>
    </row>
    <row r="57" spans="1:9" ht="12.75">
      <c r="A57" s="84">
        <v>21</v>
      </c>
      <c r="B57" s="77"/>
      <c r="C57" s="56" t="s">
        <v>751</v>
      </c>
      <c r="D57" s="56"/>
      <c r="E57" s="51"/>
      <c r="F57" s="57"/>
      <c r="G57" s="57">
        <f>SUM(G37:G56)</f>
        <v>0</v>
      </c>
      <c r="H57" s="57"/>
      <c r="I57" s="57">
        <f>SUM(I37:I56)</f>
        <v>0</v>
      </c>
    </row>
    <row r="60" spans="1:9" ht="12.75">
      <c r="A60" s="88"/>
      <c r="B60" s="89"/>
      <c r="C60" s="88"/>
      <c r="D60" s="88"/>
      <c r="E60" s="88"/>
      <c r="F60" s="88"/>
      <c r="G60" s="88"/>
      <c r="H60" s="88"/>
      <c r="I60" s="88"/>
    </row>
    <row r="61" spans="1:9" ht="12.75">
      <c r="A61" s="296" t="s">
        <v>697</v>
      </c>
      <c r="B61" s="297"/>
      <c r="C61" s="297"/>
      <c r="D61" s="297"/>
      <c r="E61" s="297"/>
      <c r="F61" s="297"/>
      <c r="G61" s="297"/>
      <c r="H61" s="297"/>
      <c r="I61" s="297"/>
    </row>
    <row r="62" spans="1:9" ht="12.75">
      <c r="A62" s="295" t="s">
        <v>698</v>
      </c>
      <c r="B62" s="295"/>
      <c r="C62" s="295"/>
      <c r="D62" s="295"/>
      <c r="E62" s="295"/>
      <c r="F62" s="293" t="s">
        <v>699</v>
      </c>
      <c r="G62" s="294"/>
      <c r="H62" s="293" t="s">
        <v>700</v>
      </c>
      <c r="I62" s="294"/>
    </row>
    <row r="63" spans="1:9" ht="13.5" thickBot="1">
      <c r="A63" s="90" t="s">
        <v>701</v>
      </c>
      <c r="B63" s="91" t="s">
        <v>702</v>
      </c>
      <c r="C63" s="90" t="s">
        <v>703</v>
      </c>
      <c r="D63" s="92" t="s">
        <v>563</v>
      </c>
      <c r="E63" s="93" t="s">
        <v>704</v>
      </c>
      <c r="F63" s="94" t="s">
        <v>705</v>
      </c>
      <c r="G63" s="94" t="s">
        <v>706</v>
      </c>
      <c r="H63" s="94" t="s">
        <v>707</v>
      </c>
      <c r="I63" s="94" t="s">
        <v>706</v>
      </c>
    </row>
    <row r="64" spans="1:9" ht="13.5" thickTop="1">
      <c r="A64" s="95"/>
      <c r="B64" s="96"/>
      <c r="C64" s="95"/>
      <c r="D64" s="97"/>
      <c r="E64" s="98"/>
      <c r="F64" s="99"/>
      <c r="G64" s="99"/>
      <c r="H64" s="99"/>
      <c r="I64" s="99"/>
    </row>
    <row r="65" spans="1:9" ht="12.75">
      <c r="A65" s="100"/>
      <c r="B65" s="101"/>
      <c r="C65" s="102" t="s">
        <v>780</v>
      </c>
      <c r="D65" s="103"/>
      <c r="E65" s="98"/>
      <c r="F65" s="104"/>
      <c r="G65" s="104"/>
      <c r="H65" s="104"/>
      <c r="I65" s="105"/>
    </row>
    <row r="66" spans="1:9" ht="12.75">
      <c r="A66" s="106">
        <v>1</v>
      </c>
      <c r="B66" s="107" t="s">
        <v>781</v>
      </c>
      <c r="C66" s="108" t="s">
        <v>782</v>
      </c>
      <c r="D66" s="108" t="s">
        <v>567</v>
      </c>
      <c r="E66" s="98">
        <v>21</v>
      </c>
      <c r="F66" s="179"/>
      <c r="G66" s="109">
        <f>E66*F66</f>
        <v>0</v>
      </c>
      <c r="H66" s="180"/>
      <c r="I66" s="109">
        <f>E66*H66</f>
        <v>0</v>
      </c>
    </row>
    <row r="67" spans="1:9" ht="12.75">
      <c r="A67" s="106">
        <v>2</v>
      </c>
      <c r="B67" s="110" t="s">
        <v>737</v>
      </c>
      <c r="C67" s="108" t="s">
        <v>783</v>
      </c>
      <c r="D67" s="108" t="s">
        <v>567</v>
      </c>
      <c r="E67" s="98">
        <v>185</v>
      </c>
      <c r="F67" s="179"/>
      <c r="G67" s="109">
        <f aca="true" t="shared" si="4" ref="G67:G76">E67*F67</f>
        <v>0</v>
      </c>
      <c r="H67" s="180"/>
      <c r="I67" s="109">
        <f aca="true" t="shared" si="5" ref="I67:I76">E67*H67</f>
        <v>0</v>
      </c>
    </row>
    <row r="68" spans="1:9" ht="12.75">
      <c r="A68" s="106">
        <v>3</v>
      </c>
      <c r="B68" s="107" t="s">
        <v>784</v>
      </c>
      <c r="C68" s="108" t="s">
        <v>785</v>
      </c>
      <c r="D68" s="108" t="s">
        <v>567</v>
      </c>
      <c r="E68" s="98">
        <v>250</v>
      </c>
      <c r="F68" s="179"/>
      <c r="G68" s="109">
        <f t="shared" si="4"/>
        <v>0</v>
      </c>
      <c r="H68" s="180"/>
      <c r="I68" s="109">
        <f t="shared" si="5"/>
        <v>0</v>
      </c>
    </row>
    <row r="69" spans="1:9" ht="12.75">
      <c r="A69" s="106">
        <v>4</v>
      </c>
      <c r="B69" s="107" t="s">
        <v>786</v>
      </c>
      <c r="C69" s="108" t="s">
        <v>787</v>
      </c>
      <c r="D69" s="108" t="s">
        <v>567</v>
      </c>
      <c r="E69" s="98">
        <v>250</v>
      </c>
      <c r="F69" s="179"/>
      <c r="G69" s="109">
        <f t="shared" si="4"/>
        <v>0</v>
      </c>
      <c r="H69" s="180"/>
      <c r="I69" s="109">
        <f t="shared" si="5"/>
        <v>0</v>
      </c>
    </row>
    <row r="70" spans="1:9" ht="12.75">
      <c r="A70" s="106">
        <v>5</v>
      </c>
      <c r="B70" s="110" t="s">
        <v>728</v>
      </c>
      <c r="C70" s="111" t="s">
        <v>729</v>
      </c>
      <c r="D70" s="111" t="s">
        <v>727</v>
      </c>
      <c r="E70" s="98">
        <v>18</v>
      </c>
      <c r="F70" s="180"/>
      <c r="G70" s="109">
        <f t="shared" si="4"/>
        <v>0</v>
      </c>
      <c r="H70" s="180"/>
      <c r="I70" s="109">
        <f t="shared" si="5"/>
        <v>0</v>
      </c>
    </row>
    <row r="71" spans="1:9" ht="12.75">
      <c r="A71" s="106">
        <v>6</v>
      </c>
      <c r="B71" s="110" t="s">
        <v>730</v>
      </c>
      <c r="C71" s="111" t="s">
        <v>731</v>
      </c>
      <c r="D71" s="111" t="s">
        <v>567</v>
      </c>
      <c r="E71" s="98">
        <v>15</v>
      </c>
      <c r="F71" s="180"/>
      <c r="G71" s="109">
        <f t="shared" si="4"/>
        <v>0</v>
      </c>
      <c r="H71" s="180"/>
      <c r="I71" s="109">
        <f t="shared" si="5"/>
        <v>0</v>
      </c>
    </row>
    <row r="72" spans="1:9" ht="56.25">
      <c r="A72" s="106">
        <v>7</v>
      </c>
      <c r="B72" s="110" t="s">
        <v>737</v>
      </c>
      <c r="C72" s="111" t="s">
        <v>788</v>
      </c>
      <c r="D72" s="111" t="s">
        <v>727</v>
      </c>
      <c r="E72" s="98">
        <v>3</v>
      </c>
      <c r="F72" s="180"/>
      <c r="G72" s="109">
        <f t="shared" si="4"/>
        <v>0</v>
      </c>
      <c r="H72" s="180"/>
      <c r="I72" s="109">
        <f t="shared" si="5"/>
        <v>0</v>
      </c>
    </row>
    <row r="73" spans="1:9" ht="12.75">
      <c r="A73" s="106">
        <v>8</v>
      </c>
      <c r="B73" s="112" t="s">
        <v>744</v>
      </c>
      <c r="C73" s="111" t="s">
        <v>789</v>
      </c>
      <c r="D73" s="111" t="s">
        <v>727</v>
      </c>
      <c r="E73" s="113">
        <v>3</v>
      </c>
      <c r="F73" s="180"/>
      <c r="G73" s="109">
        <f t="shared" si="4"/>
        <v>0</v>
      </c>
      <c r="H73" s="180"/>
      <c r="I73" s="109">
        <f t="shared" si="5"/>
        <v>0</v>
      </c>
    </row>
    <row r="74" spans="1:9" ht="12.75">
      <c r="A74" s="106">
        <v>9</v>
      </c>
      <c r="B74" s="112" t="s">
        <v>744</v>
      </c>
      <c r="C74" s="111" t="s">
        <v>745</v>
      </c>
      <c r="D74" s="111" t="s">
        <v>746</v>
      </c>
      <c r="E74" s="98">
        <v>4</v>
      </c>
      <c r="F74" s="180"/>
      <c r="G74" s="109">
        <f t="shared" si="4"/>
        <v>0</v>
      </c>
      <c r="H74" s="180"/>
      <c r="I74" s="109">
        <f t="shared" si="5"/>
        <v>0</v>
      </c>
    </row>
    <row r="75" spans="1:9" ht="12.75">
      <c r="A75" s="106">
        <v>10</v>
      </c>
      <c r="B75" s="114">
        <v>740991200</v>
      </c>
      <c r="C75" s="111" t="s">
        <v>749</v>
      </c>
      <c r="D75" s="111" t="s">
        <v>727</v>
      </c>
      <c r="E75" s="98">
        <v>1</v>
      </c>
      <c r="F75" s="180"/>
      <c r="G75" s="109">
        <f t="shared" si="4"/>
        <v>0</v>
      </c>
      <c r="H75" s="180"/>
      <c r="I75" s="109">
        <f t="shared" si="5"/>
        <v>0</v>
      </c>
    </row>
    <row r="76" spans="1:9" ht="22.5">
      <c r="A76" s="106">
        <v>11</v>
      </c>
      <c r="B76" s="114">
        <v>742991110</v>
      </c>
      <c r="C76" s="111" t="s">
        <v>750</v>
      </c>
      <c r="D76" s="111" t="s">
        <v>727</v>
      </c>
      <c r="E76" s="98">
        <v>3</v>
      </c>
      <c r="F76" s="180"/>
      <c r="G76" s="109">
        <f t="shared" si="4"/>
        <v>0</v>
      </c>
      <c r="H76" s="180"/>
      <c r="I76" s="109">
        <f t="shared" si="5"/>
        <v>0</v>
      </c>
    </row>
    <row r="77" spans="1:9" ht="12.75">
      <c r="A77" s="106">
        <v>12</v>
      </c>
      <c r="B77" s="115"/>
      <c r="C77" s="116" t="s">
        <v>751</v>
      </c>
      <c r="D77" s="116"/>
      <c r="E77" s="117"/>
      <c r="F77" s="118"/>
      <c r="G77" s="119">
        <f>SUM(G66:G76)</f>
        <v>0</v>
      </c>
      <c r="H77" s="119"/>
      <c r="I77" s="119">
        <f>SUM(I66:I76)</f>
        <v>0</v>
      </c>
    </row>
  </sheetData>
  <sheetProtection password="C4E8" sheet="1" objects="1" scenarios="1"/>
  <protectedRanges>
    <protectedRange sqref="F16:F33" name="Range1"/>
    <protectedRange sqref="H16:H33" name="Range2"/>
    <protectedRange sqref="F37:F56" name="Range3"/>
    <protectedRange sqref="H37:H56" name="Range4"/>
    <protectedRange sqref="F66:F76" name="Range5"/>
    <protectedRange sqref="H66:H76" name="Range6"/>
  </protectedRanges>
  <mergeCells count="8">
    <mergeCell ref="A2:I2"/>
    <mergeCell ref="A3:E3"/>
    <mergeCell ref="F3:G3"/>
    <mergeCell ref="H3:I3"/>
    <mergeCell ref="F62:G62"/>
    <mergeCell ref="H62:I62"/>
    <mergeCell ref="A62:E62"/>
    <mergeCell ref="A61:I6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Štěpán</dc:creator>
  <cp:keywords/>
  <dc:description/>
  <cp:lastModifiedBy>Vlastimil Štěpán</cp:lastModifiedBy>
  <dcterms:created xsi:type="dcterms:W3CDTF">2021-07-16T10:27:03Z</dcterms:created>
  <dcterms:modified xsi:type="dcterms:W3CDTF">2021-07-16T10:35:58Z</dcterms:modified>
  <cp:category/>
  <cp:version/>
  <cp:contentType/>
  <cp:contentStatus/>
</cp:coreProperties>
</file>